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434DC035-0223-4EE3-A376-093E800662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çıklama" sheetId="1" r:id="rId1"/>
    <sheet name="Veri Toplama Planı" sheetId="2" r:id="rId2"/>
    <sheet name="EnPI Ve EnB" sheetId="3" r:id="rId3"/>
    <sheet name="Kalibrasyon Takibi" sheetId="4" r:id="rId4"/>
  </sheets>
  <definedNames>
    <definedName name="_xlnm._FilterDatabase" localSheetId="3" hidden="1">'Kalibrasyon Takibi'!$A$3:$J$28</definedName>
    <definedName name="_xlnm._FilterDatabase" localSheetId="1" hidden="1">'Veri Toplama Planı'!$A$6:$N$35</definedName>
    <definedName name="_xlnm.Print_Titles" localSheetId="3">'Kalibrasyon Takibi'!$3:$3</definedName>
    <definedName name="_xlnm.Print_Titles" localSheetId="1">'Veri Toplama Planı'!$6:$6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4" l="1"/>
  <c r="H28" i="4"/>
  <c r="I27" i="4"/>
  <c r="H27" i="4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4" i="4"/>
  <c r="H4" i="4"/>
  <c r="B48" i="3"/>
  <c r="A48" i="3"/>
  <c r="B47" i="3"/>
  <c r="C47" i="3" s="1"/>
  <c r="A47" i="3"/>
  <c r="B46" i="3"/>
  <c r="C46" i="3" s="1"/>
  <c r="A46" i="3"/>
  <c r="B45" i="3"/>
  <c r="A45" i="3"/>
  <c r="B44" i="3"/>
  <c r="A44" i="3"/>
  <c r="B43" i="3"/>
  <c r="C43" i="3" s="1"/>
  <c r="A43" i="3"/>
  <c r="B42" i="3"/>
  <c r="C42" i="3" s="1"/>
  <c r="A42" i="3"/>
  <c r="B41" i="3"/>
  <c r="A41" i="3"/>
  <c r="B40" i="3"/>
  <c r="A40" i="3"/>
  <c r="B39" i="3"/>
  <c r="C39" i="3" s="1"/>
  <c r="A39" i="3"/>
  <c r="B38" i="3"/>
  <c r="C38" i="3" s="1"/>
  <c r="A38" i="3"/>
  <c r="B37" i="3"/>
  <c r="A37" i="3"/>
  <c r="D17" i="3"/>
  <c r="C17" i="3"/>
  <c r="B17" i="3"/>
  <c r="K16" i="3"/>
  <c r="E16" i="3"/>
  <c r="E15" i="3"/>
  <c r="E14" i="3"/>
  <c r="E13" i="3"/>
  <c r="E12" i="3"/>
  <c r="E11" i="3"/>
  <c r="K10" i="3"/>
  <c r="E10" i="3"/>
  <c r="K9" i="3"/>
  <c r="E9" i="3"/>
  <c r="K8" i="3"/>
  <c r="K13" i="3" s="1"/>
  <c r="E8" i="3"/>
  <c r="K7" i="3"/>
  <c r="K19" i="3" s="1"/>
  <c r="E7" i="3"/>
  <c r="K6" i="3"/>
  <c r="K15" i="3" s="1"/>
  <c r="E6" i="3"/>
  <c r="K5" i="3"/>
  <c r="D31" i="3" s="1"/>
  <c r="E31" i="3" s="1"/>
  <c r="E5" i="3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E17" i="3" l="1"/>
  <c r="C40" i="3"/>
  <c r="C44" i="3"/>
  <c r="C48" i="3"/>
  <c r="C37" i="3"/>
  <c r="C41" i="3"/>
  <c r="C45" i="3"/>
  <c r="G31" i="3"/>
  <c r="F31" i="3"/>
  <c r="D28" i="3"/>
  <c r="E28" i="3" s="1"/>
  <c r="K12" i="3"/>
  <c r="D22" i="3"/>
  <c r="E22" i="3" s="1"/>
  <c r="D30" i="3"/>
  <c r="E30" i="3" s="1"/>
  <c r="D25" i="3"/>
  <c r="E25" i="3" s="1"/>
  <c r="D27" i="3"/>
  <c r="E27" i="3" s="1"/>
  <c r="F5" i="3"/>
  <c r="F7" i="3"/>
  <c r="G7" i="3" s="1"/>
  <c r="F9" i="3"/>
  <c r="G9" i="3" s="1"/>
  <c r="F11" i="3"/>
  <c r="G11" i="3" s="1"/>
  <c r="F13" i="3"/>
  <c r="G13" i="3" s="1"/>
  <c r="F15" i="3"/>
  <c r="G15" i="3" s="1"/>
  <c r="D24" i="3"/>
  <c r="E24" i="3" s="1"/>
  <c r="D32" i="3"/>
  <c r="E32" i="3" s="1"/>
  <c r="D33" i="3"/>
  <c r="E33" i="3" s="1"/>
  <c r="K11" i="3"/>
  <c r="K22" i="3" s="1"/>
  <c r="D29" i="3"/>
  <c r="E29" i="3" s="1"/>
  <c r="D26" i="3"/>
  <c r="E26" i="3" s="1"/>
  <c r="K14" i="3"/>
  <c r="K20" i="3" s="1"/>
  <c r="F6" i="3"/>
  <c r="G6" i="3" s="1"/>
  <c r="F8" i="3"/>
  <c r="G8" i="3" s="1"/>
  <c r="F10" i="3"/>
  <c r="G10" i="3" s="1"/>
  <c r="F12" i="3"/>
  <c r="G12" i="3" s="1"/>
  <c r="F14" i="3"/>
  <c r="G14" i="3" s="1"/>
  <c r="F16" i="3"/>
  <c r="G16" i="3" s="1"/>
  <c r="D23" i="3"/>
  <c r="E23" i="3" s="1"/>
  <c r="G32" i="3" l="1"/>
  <c r="F32" i="3"/>
  <c r="G27" i="3"/>
  <c r="F27" i="3"/>
  <c r="G30" i="3"/>
  <c r="F30" i="3"/>
  <c r="G25" i="3"/>
  <c r="F25" i="3"/>
  <c r="G22" i="3"/>
  <c r="F22" i="3"/>
  <c r="F23" i="3"/>
  <c r="G23" i="3"/>
  <c r="G24" i="3"/>
  <c r="F24" i="3"/>
  <c r="G26" i="3"/>
  <c r="F26" i="3"/>
  <c r="G28" i="3"/>
  <c r="F28" i="3"/>
  <c r="D46" i="3"/>
  <c r="H31" i="3"/>
  <c r="F29" i="3"/>
  <c r="G29" i="3"/>
  <c r="G33" i="3"/>
  <c r="F33" i="3"/>
  <c r="F17" i="3"/>
  <c r="G5" i="3"/>
  <c r="H26" i="3" l="1"/>
  <c r="D41" i="3"/>
  <c r="D45" i="3"/>
  <c r="H30" i="3"/>
  <c r="D48" i="3"/>
  <c r="H33" i="3"/>
  <c r="D44" i="3"/>
  <c r="H29" i="3"/>
  <c r="D38" i="3"/>
  <c r="H23" i="3"/>
  <c r="H22" i="3"/>
  <c r="D37" i="3"/>
  <c r="D40" i="3"/>
  <c r="H25" i="3"/>
  <c r="D39" i="3"/>
  <c r="H24" i="3"/>
  <c r="H27" i="3"/>
  <c r="D42" i="3"/>
  <c r="H28" i="3"/>
  <c r="D43" i="3"/>
  <c r="D47" i="3"/>
  <c r="H32" i="3"/>
</calcChain>
</file>

<file path=xl/sharedStrings.xml><?xml version="1.0" encoding="utf-8"?>
<sst xmlns="http://schemas.openxmlformats.org/spreadsheetml/2006/main" count="285" uniqueCount="245">
  <si>
    <t>ISO 50001 Enerji Verisi Toplama Planı Ve EnPI/EnB Şablonu</t>
  </si>
  <si>
    <t>Amaç</t>
  </si>
  <si>
    <t>Bu şablon, ISO 50001:2018 madde 6.6 (enerji verisi toplama planlaması) ve madde 9.1 (izleme, ölçme, analiz ve değerlendirme) şartları için kayıt altyapısı sunar.</t>
  </si>
  <si>
    <t>EnPI ve EnB normalizasyonu ISO 50006 yaklaşımıyla tek değişkenli doğrusal regresyon (E = a · Ü + b) üzerinden kurulur; model katsayıları ve kalite ölçütleri canlı formüllerle hesaplanır.</t>
  </si>
  <si>
    <t>Örnek satırlar ve 12 aylık taban dönem verisi temsilidir; herhangi bir tesise ait değildir ve aclassenerji.com/iso-50001-enerji-izleme-sistemi sayfasındaki örnekle birebir aynıdır.</t>
  </si>
  <si>
    <t>Nasıl Kullanılır</t>
  </si>
  <si>
    <t>1. Veri Toplama Planı sayfasında [Örnek] işaretli satırları kendi ölçüm noktalarınızla değiştirin; her satırı bir EnPI'ya ve bir doğrulama yöntemine bağlayın.</t>
  </si>
  <si>
    <t>2. Enerji Türü ve ÖEK Mı sütunlarında açılır listeyi kullanın; kalibrasyon geçerlilik tarihini girdiğinizde Durum sütunu kendiliğinden güncellenir.</t>
  </si>
  <si>
    <t>3. Kalibrasyon Takibi sayfasına ölçüm cihazlarınızı, sertifika numaralarını ve geçerlilik tarihlerini girin; kalan gün ve durum formülle hesaplanır.</t>
  </si>
  <si>
    <t>4. EnPI Ve EnB sayfasında taban dönem tablosuna 12 aylık tüketim ve üretim verinizi girin; eğim, sabit, R², standart hata, CV(RMSE) ve t istatistiği kendiliğinden hesaplanır.</t>
  </si>
  <si>
    <t>5. Model kalite kontrolünü okuyun (R² ≥ 0,75 ve |t| &gt; 2); ölçütler sağlanmıyorsa eksik ilgili değişkeni (derece gün, ürün karması, vardiya) arayın.</t>
  </si>
  <si>
    <t>6. Raporlama dönemi tablosuna her ay gerçek tüketim ve üretimi girin; beklenen tüketim, fark, sapma ve kümülatif fark hesaplanır, sapma eşiği aşılınca Durum sütunu inceleme açılmasını işaret eder.</t>
  </si>
  <si>
    <t>Renk Düzeni</t>
  </si>
  <si>
    <t>Yeşil satırlar tablo başlığıdır. Açık gri hücreler sizin dolduracağınız giriş hücreleridir. Beyaz hücreler formül içerir; üzerine yazmayın.</t>
  </si>
  <si>
    <t>Örnek tarihler temsilidir; Durum sütunu bugünün tarihine göre hesaplandığı için dosyayı açtığınız güne göre değişir.</t>
  </si>
  <si>
    <t>Kısaltma</t>
  </si>
  <si>
    <t>Açılım</t>
  </si>
  <si>
    <t>Açıklama</t>
  </si>
  <si>
    <t>EnYS</t>
  </si>
  <si>
    <t>Enerji Yönetim Sistemi</t>
  </si>
  <si>
    <t>ISO 50001 kapsamında kurulan yönetim sistemi.</t>
  </si>
  <si>
    <t>ÖEK</t>
  </si>
  <si>
    <t>Önemli Enerji Kullanımı</t>
  </si>
  <si>
    <t>Enerji tüketiminin önemli kısmını oluşturan veya iyileştirme potansiyeli yüksek olan kullanım; enerji gözden geçirmesinde belirlenir (madde 6.3).</t>
  </si>
  <si>
    <t>EnPI</t>
  </si>
  <si>
    <t>Enerji performansını ölçmeye ve iyileşmeyi göstermeye uygun gösterge (madde 6.4).</t>
  </si>
  <si>
    <t>EnB</t>
  </si>
  <si>
    <t>Karşılaştırmaya esas taban dönem; ilgili değişkenler etkiliyorsa normalize edilir (madde 6.5).</t>
  </si>
  <si>
    <t>R²</t>
  </si>
  <si>
    <t>Belirlilik Katsayısı</t>
  </si>
  <si>
    <t>Modelin tüketimdeki değişkenliği ne kadar açıkladığı; yaygın alt eşik 0,75.</t>
  </si>
  <si>
    <t>CV(RMSE)</t>
  </si>
  <si>
    <t>Kök Ortalama Kare Hatanın Değişim Katsayısı</t>
  </si>
  <si>
    <t>Model artıklarının standart hatasının ortalama tüketime oranı; modelin isabet payını gösterir. Şablonda standart hata (STEYX, n − 2 paydalı) / ortalama tüketim olarak hesaplanır.</t>
  </si>
  <si>
    <t>t</t>
  </si>
  <si>
    <t>t İstatistiği</t>
  </si>
  <si>
    <t>Eğim katsayısının kendi standart hatasına oranı; |t| &gt; 2 değişkenin anlamlı olduğunu gösterir.</t>
  </si>
  <si>
    <t>Uyarı</t>
  </si>
  <si>
    <t>Şablon rehber niteliğindedir; belgelendirme kuruluşunun beklentileri için kendi EnYS dokümantasyonunuzla birlikte kullanın. Katsayılar, eşikler ve ölçüm noktaları tesise özgüdür ve EnPI metodoloji dokümanında yazılı olmalıdır.</t>
  </si>
  <si>
    <t>A Class Enerji — aclassenerji.com/iso-50001-enerji-izleme-sistemi</t>
  </si>
  <si>
    <t>Enerji Verisi Toplama Planı (ISO 50001:2018 Madde 6.6)</t>
  </si>
  <si>
    <t>Plan Revizyon No</t>
  </si>
  <si>
    <t>Rev. 00</t>
  </si>
  <si>
    <t>Ölçüm noktası eklendiğinde veya bir cihaz değiştiğinde revizyon numarasını ilerletin. [Örnek] satırları temsilidir; kendi verinizle değiştirin veya silin.</t>
  </si>
  <si>
    <t>Gözden Geçirme Tarihi</t>
  </si>
  <si>
    <t>Onaylayan</t>
  </si>
  <si>
    <t>Ölçüm Noktası</t>
  </si>
  <si>
    <t>Enerji Türü</t>
  </si>
  <si>
    <t>Önemli Enerji Kullanımı (ÖEK) Mı</t>
  </si>
  <si>
    <t>Ölçülen Büyüklük</t>
  </si>
  <si>
    <t>Birim</t>
  </si>
  <si>
    <t>Ölçüm Cihazı Veya Sayaç</t>
  </si>
  <si>
    <t>Doğruluk Sınıfı</t>
  </si>
  <si>
    <t>Okuma Sıklığı</t>
  </si>
  <si>
    <t>Veri Kaynağı Veya Protokol</t>
  </si>
  <si>
    <t>Sorumlu</t>
  </si>
  <si>
    <t>Son Kalibrasyon Tarihi</t>
  </si>
  <si>
    <t>Kalibrasyon Geçerlilik Tarihi</t>
  </si>
  <si>
    <t>Durum</t>
  </si>
  <si>
    <t>Not</t>
  </si>
  <si>
    <t>[Örnek] Ana Elektrik Girişi (OG Trafo Sekonderi)</t>
  </si>
  <si>
    <t>Elektrik</t>
  </si>
  <si>
    <t>Hayır</t>
  </si>
  <si>
    <t>Aktif ve reaktif enerji; güç</t>
  </si>
  <si>
    <t>kWh / kVArh; kW</t>
  </si>
  <si>
    <t>Enerji analizörü; akım trafosu</t>
  </si>
  <si>
    <t>Analizör sınıf 0,5S; akım trafosu sınıf 0,5</t>
  </si>
  <si>
    <t>15 dk</t>
  </si>
  <si>
    <t>Modbus TCP</t>
  </si>
  <si>
    <t>Enerji yöneticisi</t>
  </si>
  <si>
    <t>Kullanıldığı EnPI: tesis toplam EnPI, OSOS karşılaştırması. Doğrulama: aylık fatura ile mutabakat; yıllık plan gözden geçirme.</t>
  </si>
  <si>
    <t>[Örnek] Kompresör Dairesi (Ana Pano)</t>
  </si>
  <si>
    <t>Evet</t>
  </si>
  <si>
    <t>Aktif enerji; güç</t>
  </si>
  <si>
    <t>kWh; kW</t>
  </si>
  <si>
    <t>1 dk</t>
  </si>
  <si>
    <t>Modbus RTU (RS-485)</t>
  </si>
  <si>
    <t>Bakım mühendisi</t>
  </si>
  <si>
    <t>Kullanıldığı EnPI: özgül güç, kW/(Nm³/dk). Doğrulama: devreye almada kalibre saha analizörü ile karşılaştırma.</t>
  </si>
  <si>
    <t>[Örnek] Basınçlı Hava Ana Hattı (Tank Çıkışı)</t>
  </si>
  <si>
    <t>Basınçlı Hava</t>
  </si>
  <si>
    <t>Debi; basınç</t>
  </si>
  <si>
    <t>Nm³/dk; bar</t>
  </si>
  <si>
    <t>Termal kütlesel debimetre; basınç transmitteri</t>
  </si>
  <si>
    <t>Debimetre ±%2 okuma; transmitter ±%0,5</t>
  </si>
  <si>
    <t>4–20 mA → PLC → OPC UA</t>
  </si>
  <si>
    <t>Kullanıldığı EnPI: özgül güç; kaçak oranı. Doğrulama: yıllık üretici doğrulaması; düz boru mesafesi kayıtlı.</t>
  </si>
  <si>
    <t>[Örnek] Kazan Dairesi Doğal Gaz</t>
  </si>
  <si>
    <t>Doğal Gaz</t>
  </si>
  <si>
    <t>Hacim (P-T düzeltmeli)</t>
  </si>
  <si>
    <t>Sm³</t>
  </si>
  <si>
    <t>Türbin sayaç + hacim düzeltici</t>
  </si>
  <si>
    <t>Ölçüm hattı doğrulaması dağıtım şirketi sayacıyla</t>
  </si>
  <si>
    <t>Saatlik</t>
  </si>
  <si>
    <t>Pulse (S0) / Modbus</t>
  </si>
  <si>
    <t>Kazan operatörü</t>
  </si>
  <si>
    <t>Kullanıldığı EnPI: kazan verimi, kWh yakıt / t buhar. Doğrulama: aylık dağıtım şirketi faturası ile mutabakat.</t>
  </si>
  <si>
    <t>[Örnek] Buhar Üretimi (Kazan Çıkış Kolektörü)</t>
  </si>
  <si>
    <t>Buhar</t>
  </si>
  <si>
    <t>Kütlesel debi; basınç; sıcaklık</t>
  </si>
  <si>
    <t>t/h; bar; °C</t>
  </si>
  <si>
    <t>Vorteks debimetre (P-T kompanzasyonlu)</t>
  </si>
  <si>
    <t>±%1 okuma</t>
  </si>
  <si>
    <t>Modbus RTU</t>
  </si>
  <si>
    <t>Kullanıldığı EnPI: kazan verimi; proses kWh / t ürün. Doğrulama: yıllık kalibrasyon; besi suyu sayacı ile kütle dengesi.</t>
  </si>
  <si>
    <t>[Örnek] Chiller Grubu (Elektrik + Soğutulmuş Su)</t>
  </si>
  <si>
    <t>Aktif enerji; su debisi; gidiş–dönüş sıcaklığı</t>
  </si>
  <si>
    <t>kWh; m³/h; °C</t>
  </si>
  <si>
    <t>Enerji analizörü; ultrasonik debimetre; Pt100 çift sensör</t>
  </si>
  <si>
    <t>Analizör sınıf 0,5S; debimetre ±%1; Pt100 sınıf A</t>
  </si>
  <si>
    <t>Kullanıldığı EnPI: COP, kW soğutma / kW elektrik. Doğrulama: sıcaklık sensörlerinin eşlenik kalibrasyonu; yıllık.</t>
  </si>
  <si>
    <t>[Örnek] Üretim Hattı 1 ve 2 (Hat Panoları)</t>
  </si>
  <si>
    <t>Aktif enerji</t>
  </si>
  <si>
    <t>kWh</t>
  </si>
  <si>
    <t>Analizör sınıf 1; akım trafosu sınıf 1</t>
  </si>
  <si>
    <t>Üretim mühendisi</t>
  </si>
  <si>
    <t>Kullanıldığı EnPI: hat bazında kWh / t ürün (regresyon). Doğrulama: alt sayaçlar toplamı ile ana sayaç farkı ≤ %5.</t>
  </si>
  <si>
    <t>[Örnek] Üretim Miktarı (İlgili Değişken)</t>
  </si>
  <si>
    <t>İlgili Değişken</t>
  </si>
  <si>
    <t>Uygulanmaz</t>
  </si>
  <si>
    <t>Ton ürün; vardiya sayısı</t>
  </si>
  <si>
    <t>t; adet</t>
  </si>
  <si>
    <t>MES/ERP kaydı; tartım terazisi</t>
  </si>
  <si>
    <t>Tartım terazisi doğrulaması</t>
  </si>
  <si>
    <t>Vardiya sonu</t>
  </si>
  <si>
    <t>Veritabanı sorgusu</t>
  </si>
  <si>
    <t>Üretim planlama</t>
  </si>
  <si>
    <t>Kullanıldığı EnPI: tüm normalize EnPI'lar. Doğrulama: aylık kapanışta muhasebe miktarıyla mutabakat.</t>
  </si>
  <si>
    <t>[Örnek] Dış Hava Sıcaklığı (İlgili Değişken)</t>
  </si>
  <si>
    <t>Sıcaklık; HDD / CDD türetilir</t>
  </si>
  <si>
    <t>°C</t>
  </si>
  <si>
    <t>Yerel sensör; yedek olarak meteoroloji verisi</t>
  </si>
  <si>
    <t>±0,5 °C</t>
  </si>
  <si>
    <t>Modbus / API</t>
  </si>
  <si>
    <t>Kullanıldığı EnPI: ısıtma ve soğutma EnPI normalizasyonu. Doğrulama: yıllık sensör karşılaştırması.</t>
  </si>
  <si>
    <t>EnPI Ve EnB: Taban Dönem Regresyon Modeli (E = a · Ü + b) Ve Raporlama Dönemi</t>
  </si>
  <si>
    <t>Taban dönem verisi temsilidir (aclassenerji.com/iso-50001-enerji-izleme-sistemi, Sayılarla EnPI Örneği). Gri hücrelere kendi verinizi girin; beyaz hücreler formüldür.</t>
  </si>
  <si>
    <t>Taban Dönem (12 Ay)</t>
  </si>
  <si>
    <t>Ay</t>
  </si>
  <si>
    <t>Enerji Tüketimi (kWh)</t>
  </si>
  <si>
    <t>Üretim (Ton)</t>
  </si>
  <si>
    <t>Derece Gün (Bilgi İçin, Modele Girmez)</t>
  </si>
  <si>
    <t>Ham Oran (kWh/Ton)</t>
  </si>
  <si>
    <t>Model Öngörüsü (kWh)</t>
  </si>
  <si>
    <t>Sapma (%)</t>
  </si>
  <si>
    <t>Model Parametresi</t>
  </si>
  <si>
    <t>Değer</t>
  </si>
  <si>
    <t>Ay 1</t>
  </si>
  <si>
    <t>Eğim a (kWh/Ton)</t>
  </si>
  <si>
    <t>Formül: SLOPE(tüketim; üretim). Üretimle orantılı değişen tüketim.</t>
  </si>
  <si>
    <t>Ay 2</t>
  </si>
  <si>
    <t>Sabit b, Baz Yük (kWh/Ay)</t>
  </si>
  <si>
    <t>Formül: INTERCEPT. Üretimden bağımsız aylık baz yük.</t>
  </si>
  <si>
    <t>Ay 3</t>
  </si>
  <si>
    <t>Formül: RSQ. Modelin açıkladığı değişkenlik oranı.</t>
  </si>
  <si>
    <t>Ay 4</t>
  </si>
  <si>
    <t>Standart Hata (kWh)</t>
  </si>
  <si>
    <t>Formül: STEYX. Artıkların standart hatası, n − 2 serbestlik derecesiyle.</t>
  </si>
  <si>
    <t>Ay 5</t>
  </si>
  <si>
    <t>Gözlem Sayısı n</t>
  </si>
  <si>
    <t>Tüketim ve üretimi dolu ay sayısı (12 önerilir).</t>
  </si>
  <si>
    <t>Ay 6</t>
  </si>
  <si>
    <t>Ortalama Aylık Tüketim (kWh)</t>
  </si>
  <si>
    <t>Formül: AVERAGE(tüketim).</t>
  </si>
  <si>
    <t>Ay 7</t>
  </si>
  <si>
    <t>Formül: STEYX / ortalama tüketim (n − 2 paydalı). Sayfadaki %0,8 değeri bu tanımla hesaplanır.</t>
  </si>
  <si>
    <t>Ay 8</t>
  </si>
  <si>
    <t>CV(RMSE), n Paydalı (Bilgi)</t>
  </si>
  <si>
    <t>Formül: STEYX · √((n − 2)/n) / ortalama tüketim. Artıkların karesel ortalaması n'ye bölünerek hesaplanırsa çıkan değer; karşılaştırma için.</t>
  </si>
  <si>
    <t>Ay 9</t>
  </si>
  <si>
    <t>Eğimin Standart Hatası</t>
  </si>
  <si>
    <t>Formül: STEYX / √DEVSQ(üretim). INDEX(LINEST(tüketim; üretim; DOĞRU; DOĞRU); 2; 1) ile aynı sonucu verir.</t>
  </si>
  <si>
    <t>Ay 10</t>
  </si>
  <si>
    <t>t İstatistiği (a)</t>
  </si>
  <si>
    <t>Formül: eğim / eğimin standart hatası.</t>
  </si>
  <si>
    <t>Ay 11</t>
  </si>
  <si>
    <t>Baz Yük Payı</t>
  </si>
  <si>
    <t>Formül: b / ortalama aylık tüketim.</t>
  </si>
  <si>
    <t>Ay 12</t>
  </si>
  <si>
    <t>Taban Ham Oran (kWh/Ton)</t>
  </si>
  <si>
    <t>12 aylık toplam tüketim / toplam üretim; raporlama dönemindeki ham oran karşılaştırması için.</t>
  </si>
  <si>
    <t>12 Ay Toplamı</t>
  </si>
  <si>
    <t>—</t>
  </si>
  <si>
    <t>Model Kalite Kontrolü</t>
  </si>
  <si>
    <t>Sonuç</t>
  </si>
  <si>
    <t>Eşik Ve Not</t>
  </si>
  <si>
    <t>R² ≥ 0,75</t>
  </si>
  <si>
    <t>IPMVP uygulama pratiğinde yaygın kabul gören alt eşik 0,75 civarıdır.</t>
  </si>
  <si>
    <t>Raporlama Dönemi (12 Ay)</t>
  </si>
  <si>
    <t>|t| &gt; 2</t>
  </si>
  <si>
    <t>Mutlak değerce 2'yi aşan t istatistiği değişkenin anlamlı olduğunu gösterir.</t>
  </si>
  <si>
    <t>Gerçek Tüketim (kWh)</t>
  </si>
  <si>
    <t>Beklenen Tüketim (kWh)</t>
  </si>
  <si>
    <t>Fark (kWh)</t>
  </si>
  <si>
    <t>Kümülatif Fark (kWh)</t>
  </si>
  <si>
    <t>CV(RMSE) Üst Sınırı (Kullanıcı Tanımlı)</t>
  </si>
  <si>
    <t>Sabit bir eşik verilmez; tesisinize özgü üst sınırı EnPI metodoloji dokümanınıza göre bu hücreye yüzde olarak girin.</t>
  </si>
  <si>
    <t>Ay 13</t>
  </si>
  <si>
    <t>CV(RMSE) Kontrolü</t>
  </si>
  <si>
    <t>Model ölçütleri sağlamıyorsa sonucu zorlamayın; eksik ilgili değişkeni (derece gün, ürün karması, vardiya sayısı) arayın.</t>
  </si>
  <si>
    <t>Ay 14</t>
  </si>
  <si>
    <t>Sapma Eşiği (±)</t>
  </si>
  <si>
    <t>Örnekte ±%1,5. Ölçüm belirsizliğinin üzerinde seçilir; aşılınca inceleme kaydı açılır (madde 9.1).</t>
  </si>
  <si>
    <t>Ham Oran Karşılaştırması (Yanıltıcı Gösterge, Yalnız Bilgi İçin)</t>
  </si>
  <si>
    <t>Taban Ham Orana Göre Fark (%)</t>
  </si>
  <si>
    <t>Model Sapması (%)</t>
  </si>
  <si>
    <t>Ham kWh/ton oranı üretim düştüğünde baz yük nedeniyle kendiliğinden yükselir. Örnekte Ay 13 ham oranda “kötüleşmiş”, Ay 14 “iyileşmiş” görünür; model ise Ay 13'te performansın korunduğunu, Ay 14'te bozulduğunu gösterir.</t>
  </si>
  <si>
    <t>Ölçüm Cihazı Kalibrasyon Takibi (ISO 50001:2018 Madde 6.6)</t>
  </si>
  <si>
    <t>Kritik ölçüm noktalarında izlenebilir kalibrasyon sertifikası aranır; diğer cihazlarda doğruluk sınıfı ve doğrulama yöntemi kayıtlı olmalıdır. [Örnek] satırlar temsilidir.</t>
  </si>
  <si>
    <t>Cihaz</t>
  </si>
  <si>
    <t>Seri No</t>
  </si>
  <si>
    <t>Kalibrasyonu Yapan Laboratuvar</t>
  </si>
  <si>
    <t>Sertifika No</t>
  </si>
  <si>
    <t>Son Kalibrasyon</t>
  </si>
  <si>
    <t>Geçerlilik</t>
  </si>
  <si>
    <t>Kalan Gün</t>
  </si>
  <si>
    <t>[Örnek] Enerji Analizörü, Ana Elektrik Girişi</t>
  </si>
  <si>
    <t>ÖRN-0001</t>
  </si>
  <si>
    <t>Aktif ve reaktif enerji, güç</t>
  </si>
  <si>
    <t>Akredite kalibrasyon laboratuvarı</t>
  </si>
  <si>
    <t>ÖRN-2026-001</t>
  </si>
  <si>
    <t>Örnek satır; sınıf 0,5S.</t>
  </si>
  <si>
    <t>[Örnek] Enerji Analizörü, Kompresör Dairesi</t>
  </si>
  <si>
    <t>ÖRN-0002</t>
  </si>
  <si>
    <t>Aktif enerji, güç</t>
  </si>
  <si>
    <t>ÖRN-2025-014</t>
  </si>
  <si>
    <t>[Örnek] Termal Kütlesel Debimetre, Basınçlı Hava</t>
  </si>
  <si>
    <t>ÖRN-0003</t>
  </si>
  <si>
    <t>Debi (Nm³/dk)</t>
  </si>
  <si>
    <t>Üretici doğrulaması</t>
  </si>
  <si>
    <t>ÖRN-2025-009</t>
  </si>
  <si>
    <t>Örnek satır; ±%2 okuma.</t>
  </si>
  <si>
    <t>[Örnek] Vorteks Debimetre, Buhar Kolektörü</t>
  </si>
  <si>
    <t>ÖRN-0004</t>
  </si>
  <si>
    <t>Kütlesel debi (t/h)</t>
  </si>
  <si>
    <t>ÖRN-2026-003</t>
  </si>
  <si>
    <t>Örnek satır; ±%1 okuma, P-T kompanzasyonlu.</t>
  </si>
  <si>
    <t>[Örnek] Pt100 Çift Sensör, Chiller Gidiş–Dönüş</t>
  </si>
  <si>
    <t>ÖRN-0005</t>
  </si>
  <si>
    <t>Sıcaklık (°C)</t>
  </si>
  <si>
    <t>ÖRN-2026-007</t>
  </si>
  <si>
    <t>Örnek satır; sınıf A, eşlenik kalibrasyon.</t>
  </si>
  <si>
    <t>Enerji Performans Göstergesi (EnPI; Bakanlık belgelerinde EnPG)</t>
  </si>
  <si>
    <t>Enerji Referans Çizgisi (EnB; Bakanlık belgelerinde EnRÇ, 'baz çizgisi' olarak da anılır)</t>
  </si>
  <si>
    <r>
      <t xml:space="preserve">Bu şablon kaynak gösterilerek ücretsiz kullanılabilir ve paylaşılabilir. Güncel sürüm: </t>
    </r>
    <r>
      <rPr>
        <i/>
        <u/>
        <sz val="11"/>
        <color rgb="FF0563C1"/>
        <rFont val="Times New Roman"/>
        <family val="1"/>
        <charset val="162"/>
      </rPr>
      <t>https://aclassenerji.com/iso-50001-enerji-izleme-sistemi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</si>
</sst>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.mm\.yyyy"/>
    <numFmt numFmtId="165" formatCode="#,##0.0"/>
    <numFmt numFmtId="166" formatCode="\+%0.0;\-%0.0;%0.0"/>
    <numFmt numFmtId="167" formatCode="0.000"/>
    <numFmt numFmtId="168" formatCode="%0.0"/>
    <numFmt numFmtId="169" formatCode="0.0"/>
    <numFmt numFmtId="170" formatCode="\+#,##0;\-#,##0;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</font>
    <font>
      <b/>
      <sz val="11"/>
      <color rgb="FF189D8E"/>
      <name val="Times New Roman"/>
    </font>
    <font>
      <b/>
      <sz val="11"/>
      <color rgb="FFFFFFFF"/>
      <name val="Times New Roman"/>
    </font>
    <font>
      <b/>
      <sz val="11"/>
      <name val="Times New Roman"/>
    </font>
    <font>
      <i/>
      <sz val="11"/>
      <name val="Times New Roman"/>
    </font>
    <font>
      <i/>
      <sz val="11"/>
      <color rgb="FF000000"/>
      <name val="Times New Roman"/>
      <family val="1"/>
      <charset val="162"/>
    </font>
    <font>
      <i/>
      <u/>
      <sz val="11"/>
      <color rgb="FF0563C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189D8E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center" vertical="top"/>
    </xf>
    <xf numFmtId="3" fontId="1" fillId="3" borderId="1" xfId="0" applyNumberFormat="1" applyFont="1" applyFill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166" fontId="1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167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168" fontId="4" fillId="0" borderId="1" xfId="0" applyNumberFormat="1" applyFont="1" applyBorder="1" applyAlignment="1">
      <alignment horizontal="right" vertical="top"/>
    </xf>
    <xf numFmtId="169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vertical="top" wrapText="1"/>
    </xf>
    <xf numFmtId="170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10">
    <dxf>
      <font>
        <b/>
        <color rgb="FF00803C"/>
        <name val="Times New Roman"/>
      </font>
    </dxf>
    <dxf>
      <font>
        <b/>
        <color rgb="FFE26B0A"/>
        <name val="Times New Roman"/>
      </font>
    </dxf>
    <dxf>
      <font>
        <b/>
        <color rgb="FFC00000"/>
        <name val="Times New Roman"/>
      </font>
    </dxf>
    <dxf>
      <font>
        <b/>
        <color rgb="FFC00000"/>
        <name val="Times New Roman"/>
      </font>
    </dxf>
    <dxf>
      <font>
        <b/>
        <color rgb="FF00803C"/>
        <name val="Times New Roman"/>
      </font>
    </dxf>
    <dxf>
      <font>
        <b/>
        <color rgb="FF00803C"/>
        <name val="Times New Roman"/>
      </font>
    </dxf>
    <dxf>
      <font>
        <b/>
        <color rgb="FFC00000"/>
        <name val="Times New Roman"/>
      </font>
    </dxf>
    <dxf>
      <font>
        <b/>
        <color rgb="FF00803C"/>
        <name val="Times New Roman"/>
      </font>
    </dxf>
    <dxf>
      <font>
        <b/>
        <color rgb="FFE26B0A"/>
        <name val="Times New Roman"/>
      </font>
    </dxf>
    <dxf>
      <font>
        <b/>
        <color rgb="FFC00000"/>
        <name val="Times New Roman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lassenerji.com/iso-50001-enerji-izleme-siste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showGridLines="0" tabSelected="1" workbookViewId="0"/>
  </sheetViews>
  <sheetFormatPr defaultRowHeight="15" x14ac:dyDescent="0.25"/>
  <cols>
    <col min="1" max="1" width="22" customWidth="1"/>
    <col min="2" max="2" width="48" customWidth="1"/>
    <col min="3" max="3" width="70" customWidth="1"/>
  </cols>
  <sheetData>
    <row r="1" spans="1:3" x14ac:dyDescent="0.25">
      <c r="A1" s="1" t="s">
        <v>0</v>
      </c>
    </row>
    <row r="3" spans="1:3" x14ac:dyDescent="0.25">
      <c r="A3" s="29" t="s">
        <v>1</v>
      </c>
      <c r="B3" s="30"/>
      <c r="C3" s="31"/>
    </row>
    <row r="4" spans="1:3" ht="32.1" customHeight="1" x14ac:dyDescent="0.25">
      <c r="A4" s="26" t="s">
        <v>2</v>
      </c>
      <c r="B4" s="27"/>
      <c r="C4" s="27"/>
    </row>
    <row r="5" spans="1:3" ht="32.1" customHeight="1" x14ac:dyDescent="0.25">
      <c r="A5" s="26" t="s">
        <v>3</v>
      </c>
      <c r="B5" s="27"/>
      <c r="C5" s="27"/>
    </row>
    <row r="6" spans="1:3" ht="32.1" customHeight="1" x14ac:dyDescent="0.25">
      <c r="A6" s="26" t="s">
        <v>4</v>
      </c>
      <c r="B6" s="27"/>
      <c r="C6" s="27"/>
    </row>
    <row r="8" spans="1:3" x14ac:dyDescent="0.25">
      <c r="A8" s="29" t="s">
        <v>5</v>
      </c>
      <c r="B8" s="30"/>
      <c r="C8" s="31"/>
    </row>
    <row r="9" spans="1:3" ht="32.1" customHeight="1" x14ac:dyDescent="0.25">
      <c r="A9" s="26" t="s">
        <v>6</v>
      </c>
      <c r="B9" s="27"/>
      <c r="C9" s="27"/>
    </row>
    <row r="10" spans="1:3" ht="32.1" customHeight="1" x14ac:dyDescent="0.25">
      <c r="A10" s="26" t="s">
        <v>7</v>
      </c>
      <c r="B10" s="27"/>
      <c r="C10" s="27"/>
    </row>
    <row r="11" spans="1:3" ht="32.1" customHeight="1" x14ac:dyDescent="0.25">
      <c r="A11" s="26" t="s">
        <v>8</v>
      </c>
      <c r="B11" s="27"/>
      <c r="C11" s="27"/>
    </row>
    <row r="12" spans="1:3" ht="32.1" customHeight="1" x14ac:dyDescent="0.25">
      <c r="A12" s="26" t="s">
        <v>9</v>
      </c>
      <c r="B12" s="27"/>
      <c r="C12" s="27"/>
    </row>
    <row r="13" spans="1:3" ht="32.1" customHeight="1" x14ac:dyDescent="0.25">
      <c r="A13" s="26" t="s">
        <v>10</v>
      </c>
      <c r="B13" s="27"/>
      <c r="C13" s="27"/>
    </row>
    <row r="14" spans="1:3" ht="32.1" customHeight="1" x14ac:dyDescent="0.25">
      <c r="A14" s="26" t="s">
        <v>11</v>
      </c>
      <c r="B14" s="27"/>
      <c r="C14" s="27"/>
    </row>
    <row r="16" spans="1:3" x14ac:dyDescent="0.25">
      <c r="A16" s="29" t="s">
        <v>12</v>
      </c>
      <c r="B16" s="30"/>
      <c r="C16" s="31"/>
    </row>
    <row r="17" spans="1:3" ht="32.1" customHeight="1" x14ac:dyDescent="0.25">
      <c r="A17" s="26" t="s">
        <v>13</v>
      </c>
      <c r="B17" s="27"/>
      <c r="C17" s="27"/>
    </row>
    <row r="18" spans="1:3" ht="32.1" customHeight="1" x14ac:dyDescent="0.25">
      <c r="A18" s="26" t="s">
        <v>14</v>
      </c>
      <c r="B18" s="27"/>
      <c r="C18" s="27"/>
    </row>
    <row r="20" spans="1:3" x14ac:dyDescent="0.25">
      <c r="A20" s="2" t="s">
        <v>15</v>
      </c>
      <c r="B20" s="2" t="s">
        <v>16</v>
      </c>
      <c r="C20" s="2" t="s">
        <v>17</v>
      </c>
    </row>
    <row r="21" spans="1:3" ht="32.1" customHeight="1" x14ac:dyDescent="0.25">
      <c r="A21" s="3" t="s">
        <v>18</v>
      </c>
      <c r="B21" s="4" t="s">
        <v>19</v>
      </c>
      <c r="C21" s="4" t="s">
        <v>20</v>
      </c>
    </row>
    <row r="22" spans="1:3" ht="32.1" customHeight="1" x14ac:dyDescent="0.25">
      <c r="A22" s="3" t="s">
        <v>21</v>
      </c>
      <c r="B22" s="4" t="s">
        <v>22</v>
      </c>
      <c r="C22" s="4" t="s">
        <v>23</v>
      </c>
    </row>
    <row r="23" spans="1:3" ht="32.1" customHeight="1" x14ac:dyDescent="0.25">
      <c r="A23" s="3" t="s">
        <v>24</v>
      </c>
      <c r="B23" s="4" t="s">
        <v>242</v>
      </c>
      <c r="C23" s="4" t="s">
        <v>25</v>
      </c>
    </row>
    <row r="24" spans="1:3" ht="32.1" customHeight="1" x14ac:dyDescent="0.25">
      <c r="A24" s="3" t="s">
        <v>26</v>
      </c>
      <c r="B24" s="4" t="s">
        <v>243</v>
      </c>
      <c r="C24" s="4" t="s">
        <v>27</v>
      </c>
    </row>
    <row r="25" spans="1:3" ht="32.1" customHeight="1" x14ac:dyDescent="0.25">
      <c r="A25" s="3" t="s">
        <v>28</v>
      </c>
      <c r="B25" s="4" t="s">
        <v>29</v>
      </c>
      <c r="C25" s="4" t="s">
        <v>30</v>
      </c>
    </row>
    <row r="26" spans="1:3" ht="32.1" customHeight="1" x14ac:dyDescent="0.25">
      <c r="A26" s="3" t="s">
        <v>31</v>
      </c>
      <c r="B26" s="4" t="s">
        <v>32</v>
      </c>
      <c r="C26" s="4" t="s">
        <v>33</v>
      </c>
    </row>
    <row r="27" spans="1:3" ht="32.1" customHeight="1" x14ac:dyDescent="0.25">
      <c r="A27" s="3" t="s">
        <v>34</v>
      </c>
      <c r="B27" s="4" t="s">
        <v>35</v>
      </c>
      <c r="C27" s="4" t="s">
        <v>36</v>
      </c>
    </row>
    <row r="29" spans="1:3" x14ac:dyDescent="0.25">
      <c r="A29" s="29" t="s">
        <v>37</v>
      </c>
      <c r="B29" s="30"/>
      <c r="C29" s="31"/>
    </row>
    <row r="30" spans="1:3" ht="32.1" customHeight="1" x14ac:dyDescent="0.25">
      <c r="A30" s="32" t="s">
        <v>38</v>
      </c>
      <c r="B30" s="27"/>
      <c r="C30" s="27"/>
    </row>
    <row r="32" spans="1:3" x14ac:dyDescent="0.25">
      <c r="A32" s="28" t="s">
        <v>39</v>
      </c>
      <c r="B32" s="27"/>
      <c r="C32" s="27"/>
    </row>
    <row r="33" spans="1:3" ht="32.1" customHeight="1" x14ac:dyDescent="0.25">
      <c r="A33" s="36" t="s">
        <v>244</v>
      </c>
      <c r="B33" s="36"/>
      <c r="C33" s="36"/>
    </row>
  </sheetData>
  <mergeCells count="18">
    <mergeCell ref="A33:C33"/>
    <mergeCell ref="A3:C3"/>
    <mergeCell ref="A30:C30"/>
    <mergeCell ref="A12:C12"/>
    <mergeCell ref="A4:C4"/>
    <mergeCell ref="A16:C16"/>
    <mergeCell ref="A29:C29"/>
    <mergeCell ref="A10:C10"/>
    <mergeCell ref="A13:C13"/>
    <mergeCell ref="A11:C11"/>
    <mergeCell ref="A5:C5"/>
    <mergeCell ref="A32:C32"/>
    <mergeCell ref="A8:C8"/>
    <mergeCell ref="A14:C14"/>
    <mergeCell ref="A6:C6"/>
    <mergeCell ref="A17:C17"/>
    <mergeCell ref="A9:C9"/>
    <mergeCell ref="A18:C18"/>
  </mergeCells>
  <hyperlinks>
    <hyperlink ref="A33" r:id="rId1" xr:uid="{BF088E7C-F27E-4798-8308-AF922289060A}"/>
  </hyperlinks>
  <printOptions horizontalCentered="1"/>
  <pageMargins left="0.4" right="0.4" top="0.5" bottom="0.7" header="0.5" footer="0.5"/>
  <pageSetup paperSize="9" fitToHeight="0" orientation="landscape"/>
  <headerFooter>
    <oddFooter>&amp;C&amp;"Times New Roman"&amp;9 A Class Enerji — aclassenerji.com/iso-50001-enerji-izleme-sistemi&amp;R&amp;"Times New Roman"&amp;9 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5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4" customWidth="1"/>
    <col min="2" max="2" width="16" customWidth="1"/>
    <col min="3" max="3" width="14" customWidth="1"/>
    <col min="4" max="4" width="30" customWidth="1"/>
    <col min="5" max="5" width="16" customWidth="1"/>
    <col min="6" max="6" width="36" customWidth="1"/>
    <col min="7" max="7" width="26" customWidth="1"/>
    <col min="8" max="8" width="13" customWidth="1"/>
    <col min="9" max="9" width="22" customWidth="1"/>
    <col min="10" max="10" width="18" customWidth="1"/>
    <col min="11" max="12" width="15" customWidth="1"/>
    <col min="13" max="13" width="24" customWidth="1"/>
    <col min="14" max="14" width="46" customWidth="1"/>
  </cols>
  <sheetData>
    <row r="1" spans="1:14" x14ac:dyDescent="0.25">
      <c r="A1" s="1" t="s">
        <v>40</v>
      </c>
    </row>
    <row r="2" spans="1:14" x14ac:dyDescent="0.25">
      <c r="A2" s="3" t="s">
        <v>41</v>
      </c>
      <c r="B2" s="34" t="s">
        <v>42</v>
      </c>
      <c r="C2" s="31"/>
      <c r="E2" s="28" t="s">
        <v>43</v>
      </c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3" t="s">
        <v>44</v>
      </c>
      <c r="B3" s="33"/>
      <c r="C3" s="31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x14ac:dyDescent="0.25">
      <c r="A4" s="3" t="s">
        <v>45</v>
      </c>
      <c r="B4" s="34"/>
      <c r="C4" s="31"/>
    </row>
    <row r="6" spans="1:14" ht="45" customHeight="1" x14ac:dyDescent="0.2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  <c r="N6" s="2" t="s">
        <v>59</v>
      </c>
    </row>
    <row r="7" spans="1:14" ht="60" customHeight="1" x14ac:dyDescent="0.25">
      <c r="A7" s="6" t="s">
        <v>60</v>
      </c>
      <c r="B7" s="6" t="s">
        <v>61</v>
      </c>
      <c r="C7" s="6" t="s">
        <v>62</v>
      </c>
      <c r="D7" s="6" t="s">
        <v>63</v>
      </c>
      <c r="E7" s="6" t="s">
        <v>64</v>
      </c>
      <c r="F7" s="6" t="s">
        <v>65</v>
      </c>
      <c r="G7" s="6" t="s">
        <v>66</v>
      </c>
      <c r="H7" s="6" t="s">
        <v>67</v>
      </c>
      <c r="I7" s="6" t="s">
        <v>68</v>
      </c>
      <c r="J7" s="6" t="s">
        <v>69</v>
      </c>
      <c r="K7" s="7">
        <v>46091</v>
      </c>
      <c r="L7" s="7">
        <v>46822</v>
      </c>
      <c r="M7" s="4" t="str">
        <f t="shared" ref="M7:M35" ca="1" si="0">IF(L7="","",IF(L7&lt;TODAY(),"Kalibrasyon Süresi Dolmuş",IF(L7-TODAY()&lt;=30,"Kalibrasyon Yaklaşıyor","Geçerli")))</f>
        <v>Geçerli</v>
      </c>
      <c r="N7" s="6" t="s">
        <v>70</v>
      </c>
    </row>
    <row r="8" spans="1:14" ht="60" customHeight="1" x14ac:dyDescent="0.25">
      <c r="A8" s="6" t="s">
        <v>71</v>
      </c>
      <c r="B8" s="6" t="s">
        <v>61</v>
      </c>
      <c r="C8" s="6" t="s">
        <v>72</v>
      </c>
      <c r="D8" s="6" t="s">
        <v>73</v>
      </c>
      <c r="E8" s="6" t="s">
        <v>74</v>
      </c>
      <c r="F8" s="6" t="s">
        <v>65</v>
      </c>
      <c r="G8" s="6" t="s">
        <v>66</v>
      </c>
      <c r="H8" s="6" t="s">
        <v>75</v>
      </c>
      <c r="I8" s="6" t="s">
        <v>76</v>
      </c>
      <c r="J8" s="6" t="s">
        <v>77</v>
      </c>
      <c r="K8" s="7">
        <v>45945</v>
      </c>
      <c r="L8" s="7">
        <v>46310</v>
      </c>
      <c r="M8" s="4" t="str">
        <f t="shared" ca="1" si="0"/>
        <v>Kalibrasyon Yaklaşıyor</v>
      </c>
      <c r="N8" s="6" t="s">
        <v>78</v>
      </c>
    </row>
    <row r="9" spans="1:14" ht="60" customHeight="1" x14ac:dyDescent="0.25">
      <c r="A9" s="6" t="s">
        <v>79</v>
      </c>
      <c r="B9" s="6" t="s">
        <v>80</v>
      </c>
      <c r="C9" s="6" t="s">
        <v>72</v>
      </c>
      <c r="D9" s="6" t="s">
        <v>81</v>
      </c>
      <c r="E9" s="6" t="s">
        <v>82</v>
      </c>
      <c r="F9" s="6" t="s">
        <v>83</v>
      </c>
      <c r="G9" s="6" t="s">
        <v>84</v>
      </c>
      <c r="H9" s="6" t="s">
        <v>75</v>
      </c>
      <c r="I9" s="6" t="s">
        <v>85</v>
      </c>
      <c r="J9" s="6" t="s">
        <v>77</v>
      </c>
      <c r="K9" s="7">
        <v>45889</v>
      </c>
      <c r="L9" s="7">
        <v>46254</v>
      </c>
      <c r="M9" s="4" t="str">
        <f t="shared" ca="1" si="0"/>
        <v>Kalibrasyon Süresi Dolmuş</v>
      </c>
      <c r="N9" s="6" t="s">
        <v>86</v>
      </c>
    </row>
    <row r="10" spans="1:14" ht="60" customHeight="1" x14ac:dyDescent="0.25">
      <c r="A10" s="6" t="s">
        <v>87</v>
      </c>
      <c r="B10" s="6" t="s">
        <v>88</v>
      </c>
      <c r="C10" s="6" t="s">
        <v>72</v>
      </c>
      <c r="D10" s="6" t="s">
        <v>89</v>
      </c>
      <c r="E10" s="6" t="s">
        <v>90</v>
      </c>
      <c r="F10" s="6" t="s">
        <v>91</v>
      </c>
      <c r="G10" s="6" t="s">
        <v>92</v>
      </c>
      <c r="H10" s="6" t="s">
        <v>93</v>
      </c>
      <c r="I10" s="6" t="s">
        <v>94</v>
      </c>
      <c r="J10" s="6" t="s">
        <v>95</v>
      </c>
      <c r="K10" s="7">
        <v>46034</v>
      </c>
      <c r="L10" s="7">
        <v>46399</v>
      </c>
      <c r="M10" s="4" t="str">
        <f t="shared" ca="1" si="0"/>
        <v>Geçerli</v>
      </c>
      <c r="N10" s="6" t="s">
        <v>96</v>
      </c>
    </row>
    <row r="11" spans="1:14" ht="60" customHeight="1" x14ac:dyDescent="0.25">
      <c r="A11" s="6" t="s">
        <v>97</v>
      </c>
      <c r="B11" s="6" t="s">
        <v>98</v>
      </c>
      <c r="C11" s="6" t="s">
        <v>72</v>
      </c>
      <c r="D11" s="6" t="s">
        <v>99</v>
      </c>
      <c r="E11" s="6" t="s">
        <v>100</v>
      </c>
      <c r="F11" s="6" t="s">
        <v>101</v>
      </c>
      <c r="G11" s="6" t="s">
        <v>102</v>
      </c>
      <c r="H11" s="6" t="s">
        <v>67</v>
      </c>
      <c r="I11" s="6" t="s">
        <v>103</v>
      </c>
      <c r="J11" s="6" t="s">
        <v>95</v>
      </c>
      <c r="K11" s="7">
        <v>46071</v>
      </c>
      <c r="L11" s="7">
        <v>46436</v>
      </c>
      <c r="M11" s="4" t="str">
        <f t="shared" ca="1" si="0"/>
        <v>Geçerli</v>
      </c>
      <c r="N11" s="6" t="s">
        <v>104</v>
      </c>
    </row>
    <row r="12" spans="1:14" ht="60" customHeight="1" x14ac:dyDescent="0.25">
      <c r="A12" s="6" t="s">
        <v>105</v>
      </c>
      <c r="B12" s="6" t="s">
        <v>61</v>
      </c>
      <c r="C12" s="6" t="s">
        <v>72</v>
      </c>
      <c r="D12" s="6" t="s">
        <v>106</v>
      </c>
      <c r="E12" s="6" t="s">
        <v>107</v>
      </c>
      <c r="F12" s="6" t="s">
        <v>108</v>
      </c>
      <c r="G12" s="6" t="s">
        <v>109</v>
      </c>
      <c r="H12" s="6" t="s">
        <v>75</v>
      </c>
      <c r="I12" s="6" t="s">
        <v>68</v>
      </c>
      <c r="J12" s="6" t="s">
        <v>77</v>
      </c>
      <c r="K12" s="7">
        <v>46148</v>
      </c>
      <c r="L12" s="7">
        <v>46513</v>
      </c>
      <c r="M12" s="4" t="str">
        <f t="shared" ca="1" si="0"/>
        <v>Geçerli</v>
      </c>
      <c r="N12" s="6" t="s">
        <v>110</v>
      </c>
    </row>
    <row r="13" spans="1:14" ht="60" customHeight="1" x14ac:dyDescent="0.25">
      <c r="A13" s="6" t="s">
        <v>111</v>
      </c>
      <c r="B13" s="6" t="s">
        <v>61</v>
      </c>
      <c r="C13" s="6" t="s">
        <v>72</v>
      </c>
      <c r="D13" s="6" t="s">
        <v>112</v>
      </c>
      <c r="E13" s="6" t="s">
        <v>113</v>
      </c>
      <c r="F13" s="6" t="s">
        <v>65</v>
      </c>
      <c r="G13" s="6" t="s">
        <v>114</v>
      </c>
      <c r="H13" s="6" t="s">
        <v>67</v>
      </c>
      <c r="I13" s="6" t="s">
        <v>103</v>
      </c>
      <c r="J13" s="6" t="s">
        <v>115</v>
      </c>
      <c r="K13" s="7">
        <v>46126</v>
      </c>
      <c r="L13" s="7">
        <v>46857</v>
      </c>
      <c r="M13" s="4" t="str">
        <f t="shared" ca="1" si="0"/>
        <v>Geçerli</v>
      </c>
      <c r="N13" s="6" t="s">
        <v>116</v>
      </c>
    </row>
    <row r="14" spans="1:14" ht="60" customHeight="1" x14ac:dyDescent="0.25">
      <c r="A14" s="6" t="s">
        <v>117</v>
      </c>
      <c r="B14" s="6" t="s">
        <v>118</v>
      </c>
      <c r="C14" s="6" t="s">
        <v>119</v>
      </c>
      <c r="D14" s="6" t="s">
        <v>120</v>
      </c>
      <c r="E14" s="6" t="s">
        <v>121</v>
      </c>
      <c r="F14" s="6" t="s">
        <v>122</v>
      </c>
      <c r="G14" s="6" t="s">
        <v>123</v>
      </c>
      <c r="H14" s="6" t="s">
        <v>124</v>
      </c>
      <c r="I14" s="6" t="s">
        <v>125</v>
      </c>
      <c r="J14" s="6" t="s">
        <v>126</v>
      </c>
      <c r="K14" s="7">
        <v>46174</v>
      </c>
      <c r="L14" s="7">
        <v>46539</v>
      </c>
      <c r="M14" s="4" t="str">
        <f t="shared" ca="1" si="0"/>
        <v>Geçerli</v>
      </c>
      <c r="N14" s="6" t="s">
        <v>127</v>
      </c>
    </row>
    <row r="15" spans="1:14" ht="60" customHeight="1" x14ac:dyDescent="0.25">
      <c r="A15" s="6" t="s">
        <v>128</v>
      </c>
      <c r="B15" s="6" t="s">
        <v>118</v>
      </c>
      <c r="C15" s="6" t="s">
        <v>119</v>
      </c>
      <c r="D15" s="6" t="s">
        <v>129</v>
      </c>
      <c r="E15" s="6" t="s">
        <v>130</v>
      </c>
      <c r="F15" s="6" t="s">
        <v>131</v>
      </c>
      <c r="G15" s="6" t="s">
        <v>132</v>
      </c>
      <c r="H15" s="6" t="s">
        <v>93</v>
      </c>
      <c r="I15" s="6" t="s">
        <v>133</v>
      </c>
      <c r="J15" s="6" t="s">
        <v>69</v>
      </c>
      <c r="K15" s="7">
        <v>46042</v>
      </c>
      <c r="L15" s="7">
        <v>46407</v>
      </c>
      <c r="M15" s="4" t="str">
        <f t="shared" ca="1" si="0"/>
        <v>Geçerli</v>
      </c>
      <c r="N15" s="6" t="s">
        <v>134</v>
      </c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7"/>
      <c r="L16" s="7"/>
      <c r="M16" s="4" t="str">
        <f t="shared" ca="1" si="0"/>
        <v/>
      </c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  <c r="L17" s="7"/>
      <c r="M17" s="4" t="str">
        <f t="shared" ca="1" si="0"/>
        <v/>
      </c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  <c r="L18" s="7"/>
      <c r="M18" s="4" t="str">
        <f t="shared" ca="1" si="0"/>
        <v/>
      </c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4" t="str">
        <f t="shared" ca="1" si="0"/>
        <v/>
      </c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7"/>
      <c r="L20" s="7"/>
      <c r="M20" s="4" t="str">
        <f t="shared" ca="1" si="0"/>
        <v/>
      </c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7"/>
      <c r="L21" s="7"/>
      <c r="M21" s="4" t="str">
        <f t="shared" ca="1" si="0"/>
        <v/>
      </c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7"/>
      <c r="L22" s="7"/>
      <c r="M22" s="4" t="str">
        <f t="shared" ca="1" si="0"/>
        <v/>
      </c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7"/>
      <c r="L23" s="7"/>
      <c r="M23" s="4" t="str">
        <f t="shared" ca="1" si="0"/>
        <v/>
      </c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7"/>
      <c r="L24" s="7"/>
      <c r="M24" s="4" t="str">
        <f t="shared" ca="1" si="0"/>
        <v/>
      </c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7"/>
      <c r="L25" s="7"/>
      <c r="M25" s="4" t="str">
        <f t="shared" ca="1" si="0"/>
        <v/>
      </c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7"/>
      <c r="L26" s="7"/>
      <c r="M26" s="4" t="str">
        <f t="shared" ca="1" si="0"/>
        <v/>
      </c>
      <c r="N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7"/>
      <c r="L27" s="7"/>
      <c r="M27" s="4" t="str">
        <f t="shared" ca="1" si="0"/>
        <v/>
      </c>
      <c r="N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7"/>
      <c r="L28" s="7"/>
      <c r="M28" s="4" t="str">
        <f t="shared" ca="1" si="0"/>
        <v/>
      </c>
      <c r="N28" s="6"/>
    </row>
    <row r="29" spans="1:1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7"/>
      <c r="L29" s="7"/>
      <c r="M29" s="4" t="str">
        <f t="shared" ca="1" si="0"/>
        <v/>
      </c>
      <c r="N29" s="6"/>
    </row>
    <row r="30" spans="1:1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7"/>
      <c r="L30" s="7"/>
      <c r="M30" s="4" t="str">
        <f t="shared" ca="1" si="0"/>
        <v/>
      </c>
      <c r="N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7"/>
      <c r="L31" s="7"/>
      <c r="M31" s="4" t="str">
        <f t="shared" ca="1" si="0"/>
        <v/>
      </c>
      <c r="N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7"/>
      <c r="L32" s="7"/>
      <c r="M32" s="4" t="str">
        <f t="shared" ca="1" si="0"/>
        <v/>
      </c>
      <c r="N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  <c r="L33" s="7"/>
      <c r="M33" s="4" t="str">
        <f t="shared" ca="1" si="0"/>
        <v/>
      </c>
      <c r="N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7"/>
      <c r="L34" s="7"/>
      <c r="M34" s="4" t="str">
        <f t="shared" ca="1" si="0"/>
        <v/>
      </c>
      <c r="N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4" t="str">
        <f t="shared" ca="1" si="0"/>
        <v/>
      </c>
      <c r="N35" s="6"/>
    </row>
  </sheetData>
  <autoFilter ref="A6:N35" xr:uid="{00000000-0009-0000-0000-000001000000}"/>
  <mergeCells count="4">
    <mergeCell ref="E2:N3"/>
    <mergeCell ref="B3:C3"/>
    <mergeCell ref="B4:C4"/>
    <mergeCell ref="B2:C2"/>
  </mergeCells>
  <conditionalFormatting sqref="M7:M35">
    <cfRule type="expression" dxfId="9" priority="1">
      <formula>$M7="Kalibrasyon Süresi Dolmuş"</formula>
    </cfRule>
    <cfRule type="expression" dxfId="8" priority="2">
      <formula>$M7="Kalibrasyon Yaklaşıyor"</formula>
    </cfRule>
    <cfRule type="expression" dxfId="7" priority="3">
      <formula>$M7="Geçerli"</formula>
    </cfRule>
  </conditionalFormatting>
  <dataValidations count="3">
    <dataValidation type="list" allowBlank="1" showErrorMessage="1" errorTitle="Enerji Türü" error="Listeden bir enerji türü seçin." promptTitle="Enerji Türü" prompt="Listeden seçin" sqref="B7:B35" xr:uid="{00000000-0002-0000-0100-000000000000}">
      <formula1>"Elektrik,Doğal Gaz,Buhar,Basınçlı Hava,Soğutulmuş Su,Sıcak Su,Su,Sıvı Yakıt,Katı Yakıt,İlgili Değişken,Diğer"</formula1>
    </dataValidation>
    <dataValidation type="list" allowBlank="1" showErrorMessage="1" errorTitle="ÖEK Mı" error="Evet, Hayır veya Uygulanmaz seçin." sqref="C7:C35" xr:uid="{00000000-0002-0000-0100-000001000000}">
      <formula1>"Evet,Hayır,Uygulanmaz"</formula1>
    </dataValidation>
    <dataValidation type="date" operator="greaterThan" allowBlank="1" showErrorMessage="1" error="Geçerli bir tarih girin (gg.aa.yyyy)." sqref="K7:L35" xr:uid="{00000000-0002-0000-0100-000002000000}">
      <formula1>36526</formula1>
    </dataValidation>
  </dataValidations>
  <printOptions horizontalCentered="1"/>
  <pageMargins left="0.4" right="0.4" top="0.5" bottom="0.7" header="0.5" footer="0.5"/>
  <pageSetup paperSize="9" fitToHeight="0" orientation="landscape"/>
  <headerFooter>
    <oddFooter>&amp;C&amp;"Times New Roman"&amp;9 A Class Enerji — aclassenerji.com/iso-50001-enerji-izleme-sistemi&amp;R&amp;"Times New Roman"&amp;9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0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4" customWidth="1"/>
    <col min="2" max="2" width="18" customWidth="1"/>
    <col min="3" max="5" width="16" customWidth="1"/>
    <col min="6" max="6" width="18" customWidth="1"/>
    <col min="7" max="8" width="14" customWidth="1"/>
    <col min="9" max="9" width="3" customWidth="1"/>
    <col min="10" max="10" width="34" customWidth="1"/>
    <col min="11" max="11" width="16" customWidth="1"/>
    <col min="12" max="12" width="58" customWidth="1"/>
  </cols>
  <sheetData>
    <row r="1" spans="1:12" x14ac:dyDescent="0.25">
      <c r="A1" s="1" t="s">
        <v>135</v>
      </c>
    </row>
    <row r="2" spans="1:12" ht="30" customHeight="1" x14ac:dyDescent="0.25">
      <c r="A2" s="28" t="s">
        <v>136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42.75" x14ac:dyDescent="0.25">
      <c r="A3" s="5" t="s">
        <v>137</v>
      </c>
    </row>
    <row r="4" spans="1:12" ht="45" customHeight="1" x14ac:dyDescent="0.25">
      <c r="A4" s="2" t="s">
        <v>138</v>
      </c>
      <c r="B4" s="2" t="s">
        <v>139</v>
      </c>
      <c r="C4" s="2" t="s">
        <v>140</v>
      </c>
      <c r="D4" s="2" t="s">
        <v>141</v>
      </c>
      <c r="E4" s="2" t="s">
        <v>142</v>
      </c>
      <c r="F4" s="2" t="s">
        <v>143</v>
      </c>
      <c r="G4" s="2" t="s">
        <v>144</v>
      </c>
      <c r="J4" s="2" t="s">
        <v>145</v>
      </c>
      <c r="K4" s="2" t="s">
        <v>146</v>
      </c>
      <c r="L4" s="2" t="s">
        <v>17</v>
      </c>
    </row>
    <row r="5" spans="1:12" ht="30" x14ac:dyDescent="0.25">
      <c r="A5" s="6" t="s">
        <v>147</v>
      </c>
      <c r="B5" s="8">
        <v>327800</v>
      </c>
      <c r="C5" s="8">
        <v>1240</v>
      </c>
      <c r="D5" s="8"/>
      <c r="E5" s="9">
        <f t="shared" ref="E5:E16" si="0">IF(OR(B5="",C5="",C5=0),"",B5/C5)</f>
        <v>264.35483870967744</v>
      </c>
      <c r="F5" s="10">
        <f t="shared" ref="F5:F16" si="1">IF(OR(B5="",C5="",$K$5=""),"",$K$5*C5+$K$6)</f>
        <v>325388.55462565029</v>
      </c>
      <c r="G5" s="11">
        <f t="shared" ref="G5:G16" si="2">IF(OR(F5="",F5=0),"",(B5-F5)/F5)</f>
        <v>7.4109717138760751E-3</v>
      </c>
      <c r="J5" s="3" t="s">
        <v>148</v>
      </c>
      <c r="K5" s="12">
        <f>IFERROR(SLOPE($B$5:$B$16,$C$5:$C$16),"")</f>
        <v>185.14928749151781</v>
      </c>
      <c r="L5" s="4" t="s">
        <v>149</v>
      </c>
    </row>
    <row r="6" spans="1:12" x14ac:dyDescent="0.25">
      <c r="A6" s="6" t="s">
        <v>150</v>
      </c>
      <c r="B6" s="8">
        <v>336450</v>
      </c>
      <c r="C6" s="8">
        <v>1310</v>
      </c>
      <c r="D6" s="8"/>
      <c r="E6" s="9">
        <f t="shared" si="0"/>
        <v>256.83206106870227</v>
      </c>
      <c r="F6" s="10">
        <f t="shared" si="1"/>
        <v>338349.00475005654</v>
      </c>
      <c r="G6" s="11">
        <f t="shared" si="2"/>
        <v>-5.6125619505201872E-3</v>
      </c>
      <c r="J6" s="3" t="s">
        <v>151</v>
      </c>
      <c r="K6" s="13">
        <f>IFERROR(INTERCEPT($B$5:$B$16,$C$5:$C$16),"")</f>
        <v>95803.438136168174</v>
      </c>
      <c r="L6" s="4" t="s">
        <v>152</v>
      </c>
    </row>
    <row r="7" spans="1:12" x14ac:dyDescent="0.25">
      <c r="A7" s="6" t="s">
        <v>153</v>
      </c>
      <c r="B7" s="8">
        <v>355325</v>
      </c>
      <c r="C7" s="8">
        <v>1385</v>
      </c>
      <c r="D7" s="8"/>
      <c r="E7" s="9">
        <f t="shared" si="0"/>
        <v>256.55234657039711</v>
      </c>
      <c r="F7" s="10">
        <f t="shared" si="1"/>
        <v>352235.2013119203</v>
      </c>
      <c r="G7" s="11">
        <f t="shared" si="2"/>
        <v>8.7719758745621185E-3</v>
      </c>
      <c r="J7" s="3" t="s">
        <v>28</v>
      </c>
      <c r="K7" s="14">
        <f>IFERROR(RSQ($B$5:$B$16,$C$5:$C$16),"")</f>
        <v>0.98706195378515338</v>
      </c>
      <c r="L7" s="4" t="s">
        <v>154</v>
      </c>
    </row>
    <row r="8" spans="1:12" ht="30" x14ac:dyDescent="0.25">
      <c r="A8" s="6" t="s">
        <v>155</v>
      </c>
      <c r="B8" s="8">
        <v>332050</v>
      </c>
      <c r="C8" s="8">
        <v>1290</v>
      </c>
      <c r="D8" s="8"/>
      <c r="E8" s="9">
        <f t="shared" si="0"/>
        <v>257.40310077519382</v>
      </c>
      <c r="F8" s="10">
        <f t="shared" si="1"/>
        <v>334646.01900022617</v>
      </c>
      <c r="G8" s="11">
        <f t="shared" si="2"/>
        <v>-7.757507493983999E-3</v>
      </c>
      <c r="J8" s="3" t="s">
        <v>156</v>
      </c>
      <c r="K8" s="13">
        <f>IFERROR(STEYX($B$5:$B$16,$C$5:$C$16),"")</f>
        <v>2573.2608821335266</v>
      </c>
      <c r="L8" s="4" t="s">
        <v>157</v>
      </c>
    </row>
    <row r="9" spans="1:12" x14ac:dyDescent="0.25">
      <c r="A9" s="6" t="s">
        <v>158</v>
      </c>
      <c r="B9" s="8">
        <v>360200</v>
      </c>
      <c r="C9" s="8">
        <v>1420</v>
      </c>
      <c r="D9" s="8"/>
      <c r="E9" s="9">
        <f t="shared" si="0"/>
        <v>253.66197183098592</v>
      </c>
      <c r="F9" s="10">
        <f t="shared" si="1"/>
        <v>358715.42637412349</v>
      </c>
      <c r="G9" s="11">
        <f t="shared" si="2"/>
        <v>4.1385831685090925E-3</v>
      </c>
      <c r="J9" s="3" t="s">
        <v>159</v>
      </c>
      <c r="K9" s="15">
        <f>MIN(COUNT($B$5:$B$16),COUNT($C$5:$C$16))</f>
        <v>12</v>
      </c>
      <c r="L9" s="4" t="s">
        <v>160</v>
      </c>
    </row>
    <row r="10" spans="1:12" x14ac:dyDescent="0.25">
      <c r="A10" s="6" t="s">
        <v>161</v>
      </c>
      <c r="B10" s="8">
        <v>361875</v>
      </c>
      <c r="C10" s="8">
        <v>1455</v>
      </c>
      <c r="D10" s="8"/>
      <c r="E10" s="9">
        <f t="shared" si="0"/>
        <v>248.71134020618555</v>
      </c>
      <c r="F10" s="10">
        <f t="shared" si="1"/>
        <v>365195.65143632656</v>
      </c>
      <c r="G10" s="11">
        <f t="shared" si="2"/>
        <v>-9.0928011417067203E-3</v>
      </c>
      <c r="J10" s="3" t="s">
        <v>162</v>
      </c>
      <c r="K10" s="13">
        <f>IFERROR(AVERAGE($B$5:$B$16),"")</f>
        <v>339583.33333333331</v>
      </c>
      <c r="L10" s="4" t="s">
        <v>163</v>
      </c>
    </row>
    <row r="11" spans="1:12" ht="30" x14ac:dyDescent="0.25">
      <c r="A11" s="6" t="s">
        <v>164</v>
      </c>
      <c r="B11" s="8">
        <v>317100</v>
      </c>
      <c r="C11" s="8">
        <v>1180</v>
      </c>
      <c r="D11" s="8"/>
      <c r="E11" s="9">
        <f t="shared" si="0"/>
        <v>268.72881355932202</v>
      </c>
      <c r="F11" s="10">
        <f t="shared" si="1"/>
        <v>314279.59737615916</v>
      </c>
      <c r="G11" s="11">
        <f t="shared" si="2"/>
        <v>8.974183012157546E-3</v>
      </c>
      <c r="J11" s="3" t="s">
        <v>31</v>
      </c>
      <c r="K11" s="16">
        <f>IFERROR(K8/K10,"")</f>
        <v>7.577700757203024E-3</v>
      </c>
      <c r="L11" s="4" t="s">
        <v>165</v>
      </c>
    </row>
    <row r="12" spans="1:12" ht="45" x14ac:dyDescent="0.25">
      <c r="A12" s="6" t="s">
        <v>166</v>
      </c>
      <c r="B12" s="8">
        <v>295550</v>
      </c>
      <c r="C12" s="8">
        <v>1090</v>
      </c>
      <c r="D12" s="8"/>
      <c r="E12" s="9">
        <f t="shared" si="0"/>
        <v>271.14678899082571</v>
      </c>
      <c r="F12" s="10">
        <f t="shared" si="1"/>
        <v>297616.16150192259</v>
      </c>
      <c r="G12" s="11">
        <f t="shared" si="2"/>
        <v>-6.9423699690758867E-3</v>
      </c>
      <c r="J12" s="3" t="s">
        <v>167</v>
      </c>
      <c r="K12" s="16">
        <f>IFERROR(K8*SQRT((K9-2)/K9)/K10,"")</f>
        <v>6.9174627312401241E-3</v>
      </c>
      <c r="L12" s="4" t="s">
        <v>168</v>
      </c>
    </row>
    <row r="13" spans="1:12" ht="30" x14ac:dyDescent="0.25">
      <c r="A13" s="6" t="s">
        <v>169</v>
      </c>
      <c r="B13" s="8">
        <v>355275</v>
      </c>
      <c r="C13" s="8">
        <v>1395</v>
      </c>
      <c r="D13" s="8"/>
      <c r="E13" s="9">
        <f t="shared" si="0"/>
        <v>254.67741935483872</v>
      </c>
      <c r="F13" s="10">
        <f t="shared" si="1"/>
        <v>354086.69418683555</v>
      </c>
      <c r="G13" s="11">
        <f t="shared" si="2"/>
        <v>3.3559742082187221E-3</v>
      </c>
      <c r="J13" s="3" t="s">
        <v>170</v>
      </c>
      <c r="K13" s="12">
        <f>IFERROR(K8/SQRT(DEVSQ($C$5:$C$16)),"")</f>
        <v>6.7032310322210984</v>
      </c>
      <c r="L13" s="4" t="s">
        <v>171</v>
      </c>
    </row>
    <row r="14" spans="1:12" x14ac:dyDescent="0.25">
      <c r="A14" s="6" t="s">
        <v>172</v>
      </c>
      <c r="B14" s="8">
        <v>364400</v>
      </c>
      <c r="C14" s="8">
        <v>1460</v>
      </c>
      <c r="D14" s="8"/>
      <c r="E14" s="9">
        <f t="shared" si="0"/>
        <v>249.58904109589042</v>
      </c>
      <c r="F14" s="10">
        <f t="shared" si="1"/>
        <v>366121.39787378418</v>
      </c>
      <c r="G14" s="11">
        <f t="shared" si="2"/>
        <v>-4.7017133764402736E-3</v>
      </c>
      <c r="J14" s="3" t="s">
        <v>173</v>
      </c>
      <c r="K14" s="17">
        <f>IFERROR(K5/K13,"")</f>
        <v>27.620902010022036</v>
      </c>
      <c r="L14" s="4" t="s">
        <v>174</v>
      </c>
    </row>
    <row r="15" spans="1:12" x14ac:dyDescent="0.25">
      <c r="A15" s="6" t="s">
        <v>175</v>
      </c>
      <c r="B15" s="8">
        <v>348350</v>
      </c>
      <c r="C15" s="8">
        <v>1350</v>
      </c>
      <c r="D15" s="8"/>
      <c r="E15" s="9">
        <f t="shared" si="0"/>
        <v>258.03703703703701</v>
      </c>
      <c r="F15" s="10">
        <f t="shared" si="1"/>
        <v>345754.97624971718</v>
      </c>
      <c r="G15" s="11">
        <f t="shared" si="2"/>
        <v>7.505383663396939E-3</v>
      </c>
      <c r="J15" s="3" t="s">
        <v>176</v>
      </c>
      <c r="K15" s="16">
        <f>IFERROR(K6/K10,"")</f>
        <v>0.28212055402061798</v>
      </c>
      <c r="L15" s="4" t="s">
        <v>177</v>
      </c>
    </row>
    <row r="16" spans="1:12" ht="30" x14ac:dyDescent="0.25">
      <c r="A16" s="6" t="s">
        <v>178</v>
      </c>
      <c r="B16" s="8">
        <v>320625</v>
      </c>
      <c r="C16" s="8">
        <v>1225</v>
      </c>
      <c r="D16" s="8"/>
      <c r="E16" s="9">
        <f t="shared" si="0"/>
        <v>261.73469387755102</v>
      </c>
      <c r="F16" s="10">
        <f t="shared" si="1"/>
        <v>322611.31531327753</v>
      </c>
      <c r="G16" s="11">
        <f t="shared" si="2"/>
        <v>-6.1569920799234394E-3</v>
      </c>
      <c r="J16" s="3" t="s">
        <v>179</v>
      </c>
      <c r="K16" s="18">
        <f>IFERROR(SUM($B$5:$B$16)/SUM($C$5:$C$16),"")</f>
        <v>257.91139240506328</v>
      </c>
      <c r="L16" s="4" t="s">
        <v>180</v>
      </c>
    </row>
    <row r="17" spans="1:12" ht="28.5" x14ac:dyDescent="0.25">
      <c r="A17" s="3" t="s">
        <v>181</v>
      </c>
      <c r="B17" s="19">
        <f>SUM($B$5:$B$16)</f>
        <v>4075000</v>
      </c>
      <c r="C17" s="19">
        <f>SUM($C$5:$C$16)</f>
        <v>15800</v>
      </c>
      <c r="D17" s="19" t="str">
        <f>IF(COUNT($D$5:$D$16)=0,"",SUM($D$5:$D$16))</f>
        <v/>
      </c>
      <c r="E17" s="20">
        <f>IF(C17=0,"",B17/C17)</f>
        <v>257.91139240506328</v>
      </c>
      <c r="F17" s="19">
        <f>IF(COUNT($F$5:$F$16)=0,"",SUM($F$5:$F$16))</f>
        <v>4075000</v>
      </c>
      <c r="G17" s="21" t="s">
        <v>182</v>
      </c>
    </row>
    <row r="18" spans="1:12" x14ac:dyDescent="0.25">
      <c r="J18" s="2" t="s">
        <v>183</v>
      </c>
      <c r="K18" s="2" t="s">
        <v>184</v>
      </c>
      <c r="L18" s="2" t="s">
        <v>185</v>
      </c>
    </row>
    <row r="19" spans="1:12" ht="30" x14ac:dyDescent="0.25">
      <c r="J19" s="3" t="s">
        <v>186</v>
      </c>
      <c r="K19" s="21" t="str">
        <f>IF(K7="","",IF(K7&gt;=0.75,"Uygun","Yetersiz"))</f>
        <v>Uygun</v>
      </c>
      <c r="L19" s="4" t="s">
        <v>187</v>
      </c>
    </row>
    <row r="20" spans="1:12" ht="42.75" x14ac:dyDescent="0.25">
      <c r="A20" s="5" t="s">
        <v>188</v>
      </c>
      <c r="J20" s="3" t="s">
        <v>189</v>
      </c>
      <c r="K20" s="21" t="str">
        <f>IF(K14="","",IF(ABS(K14)&gt;2,"Uygun","Yetersiz"))</f>
        <v>Uygun</v>
      </c>
      <c r="L20" s="4" t="s">
        <v>190</v>
      </c>
    </row>
    <row r="21" spans="1:12" ht="45" customHeight="1" x14ac:dyDescent="0.25">
      <c r="A21" s="2" t="s">
        <v>138</v>
      </c>
      <c r="B21" s="2" t="s">
        <v>191</v>
      </c>
      <c r="C21" s="2" t="s">
        <v>140</v>
      </c>
      <c r="D21" s="2" t="s">
        <v>192</v>
      </c>
      <c r="E21" s="2" t="s">
        <v>193</v>
      </c>
      <c r="F21" s="2" t="s">
        <v>144</v>
      </c>
      <c r="G21" s="2" t="s">
        <v>194</v>
      </c>
      <c r="H21" s="2" t="s">
        <v>58</v>
      </c>
      <c r="J21" s="3" t="s">
        <v>195</v>
      </c>
      <c r="K21" s="22"/>
      <c r="L21" s="4" t="s">
        <v>196</v>
      </c>
    </row>
    <row r="22" spans="1:12" ht="30" x14ac:dyDescent="0.25">
      <c r="A22" s="6" t="s">
        <v>197</v>
      </c>
      <c r="B22" s="8">
        <v>300000</v>
      </c>
      <c r="C22" s="8">
        <v>1100</v>
      </c>
      <c r="D22" s="10">
        <f t="shared" ref="D22:D33" si="3">IF(OR(C22="",$K$5=""),"",$K$5*C22+$K$6)</f>
        <v>299467.65437683777</v>
      </c>
      <c r="E22" s="23">
        <f t="shared" ref="E22:E33" si="4">IF(OR(B22="",D22=""),"",B22-D22)</f>
        <v>532.34562316222582</v>
      </c>
      <c r="F22" s="11">
        <f t="shared" ref="F22:F33" si="5">IF(OR(E22="",D22=0),"",E22/D22)</f>
        <v>1.7776398064424815E-3</v>
      </c>
      <c r="G22" s="23">
        <f>IF(E22="","",SUM($E$22:E22))</f>
        <v>532.34562316222582</v>
      </c>
      <c r="H22" s="24" t="str">
        <f t="shared" ref="H22:H33" si="6">IF(F22="","",IF($K$23="","Eşik Tanımlayın",IF(ABS(F22)&gt;$K$23,"İnceleme Aç","Bant İçinde")))</f>
        <v>Bant İçinde</v>
      </c>
      <c r="J22" s="3" t="s">
        <v>198</v>
      </c>
      <c r="K22" s="21" t="str">
        <f>IF(K11="","",IF(K21="","Eşik Tanımlayın",IF(K11&lt;=K21,"Uygun","Yetersiz")))</f>
        <v>Eşik Tanımlayın</v>
      </c>
      <c r="L22" s="4" t="s">
        <v>199</v>
      </c>
    </row>
    <row r="23" spans="1:12" ht="30" x14ac:dyDescent="0.25">
      <c r="A23" s="6" t="s">
        <v>200</v>
      </c>
      <c r="B23" s="8">
        <v>380000</v>
      </c>
      <c r="C23" s="8">
        <v>1500</v>
      </c>
      <c r="D23" s="10">
        <f t="shared" si="3"/>
        <v>373527.36937344488</v>
      </c>
      <c r="E23" s="23">
        <f t="shared" si="4"/>
        <v>6472.6306265551248</v>
      </c>
      <c r="F23" s="11">
        <f t="shared" si="5"/>
        <v>1.7328397213334918E-2</v>
      </c>
      <c r="G23" s="23">
        <f>IF(E23="","",SUM($E$22:E23))</f>
        <v>7004.9762497173506</v>
      </c>
      <c r="H23" s="24" t="str">
        <f t="shared" si="6"/>
        <v>İnceleme Aç</v>
      </c>
      <c r="J23" s="3" t="s">
        <v>201</v>
      </c>
      <c r="K23" s="22">
        <v>1.4999999999999999E-2</v>
      </c>
      <c r="L23" s="4" t="s">
        <v>202</v>
      </c>
    </row>
    <row r="24" spans="1:12" x14ac:dyDescent="0.25">
      <c r="A24" s="6"/>
      <c r="B24" s="8"/>
      <c r="C24" s="8"/>
      <c r="D24" s="10" t="str">
        <f t="shared" si="3"/>
        <v/>
      </c>
      <c r="E24" s="23" t="str">
        <f t="shared" si="4"/>
        <v/>
      </c>
      <c r="F24" s="11" t="str">
        <f t="shared" si="5"/>
        <v/>
      </c>
      <c r="G24" s="23" t="str">
        <f>IF(E24="","",SUM($E$22:E24))</f>
        <v/>
      </c>
      <c r="H24" s="24" t="str">
        <f t="shared" si="6"/>
        <v/>
      </c>
    </row>
    <row r="25" spans="1:12" x14ac:dyDescent="0.25">
      <c r="A25" s="6"/>
      <c r="B25" s="8"/>
      <c r="C25" s="8"/>
      <c r="D25" s="10" t="str">
        <f t="shared" si="3"/>
        <v/>
      </c>
      <c r="E25" s="23" t="str">
        <f t="shared" si="4"/>
        <v/>
      </c>
      <c r="F25" s="11" t="str">
        <f t="shared" si="5"/>
        <v/>
      </c>
      <c r="G25" s="23" t="str">
        <f>IF(E25="","",SUM($E$22:E25))</f>
        <v/>
      </c>
      <c r="H25" s="24" t="str">
        <f t="shared" si="6"/>
        <v/>
      </c>
    </row>
    <row r="26" spans="1:12" x14ac:dyDescent="0.25">
      <c r="A26" s="6"/>
      <c r="B26" s="8"/>
      <c r="C26" s="8"/>
      <c r="D26" s="10" t="str">
        <f t="shared" si="3"/>
        <v/>
      </c>
      <c r="E26" s="23" t="str">
        <f t="shared" si="4"/>
        <v/>
      </c>
      <c r="F26" s="11" t="str">
        <f t="shared" si="5"/>
        <v/>
      </c>
      <c r="G26" s="23" t="str">
        <f>IF(E26="","",SUM($E$22:E26))</f>
        <v/>
      </c>
      <c r="H26" s="24" t="str">
        <f t="shared" si="6"/>
        <v/>
      </c>
    </row>
    <row r="27" spans="1:12" x14ac:dyDescent="0.25">
      <c r="A27" s="6"/>
      <c r="B27" s="8"/>
      <c r="C27" s="8"/>
      <c r="D27" s="10" t="str">
        <f t="shared" si="3"/>
        <v/>
      </c>
      <c r="E27" s="23" t="str">
        <f t="shared" si="4"/>
        <v/>
      </c>
      <c r="F27" s="11" t="str">
        <f t="shared" si="5"/>
        <v/>
      </c>
      <c r="G27" s="23" t="str">
        <f>IF(E27="","",SUM($E$22:E27))</f>
        <v/>
      </c>
      <c r="H27" s="24" t="str">
        <f t="shared" si="6"/>
        <v/>
      </c>
    </row>
    <row r="28" spans="1:12" x14ac:dyDescent="0.25">
      <c r="A28" s="6"/>
      <c r="B28" s="8"/>
      <c r="C28" s="8"/>
      <c r="D28" s="10" t="str">
        <f t="shared" si="3"/>
        <v/>
      </c>
      <c r="E28" s="23" t="str">
        <f t="shared" si="4"/>
        <v/>
      </c>
      <c r="F28" s="11" t="str">
        <f t="shared" si="5"/>
        <v/>
      </c>
      <c r="G28" s="23" t="str">
        <f>IF(E28="","",SUM($E$22:E28))</f>
        <v/>
      </c>
      <c r="H28" s="24" t="str">
        <f t="shared" si="6"/>
        <v/>
      </c>
    </row>
    <row r="29" spans="1:12" x14ac:dyDescent="0.25">
      <c r="A29" s="6"/>
      <c r="B29" s="8"/>
      <c r="C29" s="8"/>
      <c r="D29" s="10" t="str">
        <f t="shared" si="3"/>
        <v/>
      </c>
      <c r="E29" s="23" t="str">
        <f t="shared" si="4"/>
        <v/>
      </c>
      <c r="F29" s="11" t="str">
        <f t="shared" si="5"/>
        <v/>
      </c>
      <c r="G29" s="23" t="str">
        <f>IF(E29="","",SUM($E$22:E29))</f>
        <v/>
      </c>
      <c r="H29" s="24" t="str">
        <f t="shared" si="6"/>
        <v/>
      </c>
    </row>
    <row r="30" spans="1:12" x14ac:dyDescent="0.25">
      <c r="A30" s="6"/>
      <c r="B30" s="8"/>
      <c r="C30" s="8"/>
      <c r="D30" s="10" t="str">
        <f t="shared" si="3"/>
        <v/>
      </c>
      <c r="E30" s="23" t="str">
        <f t="shared" si="4"/>
        <v/>
      </c>
      <c r="F30" s="11" t="str">
        <f t="shared" si="5"/>
        <v/>
      </c>
      <c r="G30" s="23" t="str">
        <f>IF(E30="","",SUM($E$22:E30))</f>
        <v/>
      </c>
      <c r="H30" s="24" t="str">
        <f t="shared" si="6"/>
        <v/>
      </c>
    </row>
    <row r="31" spans="1:12" x14ac:dyDescent="0.25">
      <c r="A31" s="6"/>
      <c r="B31" s="8"/>
      <c r="C31" s="8"/>
      <c r="D31" s="10" t="str">
        <f t="shared" si="3"/>
        <v/>
      </c>
      <c r="E31" s="23" t="str">
        <f t="shared" si="4"/>
        <v/>
      </c>
      <c r="F31" s="11" t="str">
        <f t="shared" si="5"/>
        <v/>
      </c>
      <c r="G31" s="23" t="str">
        <f>IF(E31="","",SUM($E$22:E31))</f>
        <v/>
      </c>
      <c r="H31" s="24" t="str">
        <f t="shared" si="6"/>
        <v/>
      </c>
    </row>
    <row r="32" spans="1:12" x14ac:dyDescent="0.25">
      <c r="A32" s="6"/>
      <c r="B32" s="8"/>
      <c r="C32" s="8"/>
      <c r="D32" s="10" t="str">
        <f t="shared" si="3"/>
        <v/>
      </c>
      <c r="E32" s="23" t="str">
        <f t="shared" si="4"/>
        <v/>
      </c>
      <c r="F32" s="11" t="str">
        <f t="shared" si="5"/>
        <v/>
      </c>
      <c r="G32" s="23" t="str">
        <f>IF(E32="","",SUM($E$22:E32))</f>
        <v/>
      </c>
      <c r="H32" s="24" t="str">
        <f t="shared" si="6"/>
        <v/>
      </c>
    </row>
    <row r="33" spans="1:8" x14ac:dyDescent="0.25">
      <c r="A33" s="6"/>
      <c r="B33" s="8"/>
      <c r="C33" s="8"/>
      <c r="D33" s="10" t="str">
        <f t="shared" si="3"/>
        <v/>
      </c>
      <c r="E33" s="23" t="str">
        <f t="shared" si="4"/>
        <v/>
      </c>
      <c r="F33" s="11" t="str">
        <f t="shared" si="5"/>
        <v/>
      </c>
      <c r="G33" s="23" t="str">
        <f>IF(E33="","",SUM($E$22:E33))</f>
        <v/>
      </c>
      <c r="H33" s="24" t="str">
        <f t="shared" si="6"/>
        <v/>
      </c>
    </row>
    <row r="35" spans="1:8" ht="85.5" x14ac:dyDescent="0.25">
      <c r="A35" s="5" t="s">
        <v>203</v>
      </c>
    </row>
    <row r="36" spans="1:8" ht="45" customHeight="1" x14ac:dyDescent="0.25">
      <c r="A36" s="2" t="s">
        <v>138</v>
      </c>
      <c r="B36" s="2" t="s">
        <v>142</v>
      </c>
      <c r="C36" s="2" t="s">
        <v>204</v>
      </c>
      <c r="D36" s="2" t="s">
        <v>205</v>
      </c>
    </row>
    <row r="37" spans="1:8" x14ac:dyDescent="0.25">
      <c r="A37" s="4" t="str">
        <f t="shared" ref="A37:A48" si="7">IF(A22="","",A22)</f>
        <v>Ay 13</v>
      </c>
      <c r="B37" s="9">
        <f t="shared" ref="B37:B48" si="8">IF(OR(B22="",C22="",C22=0),"",B22/C22)</f>
        <v>272.72727272727275</v>
      </c>
      <c r="C37" s="11">
        <f t="shared" ref="C37:C48" si="9">IF(OR(B37="",$K$16=""),"",B37/$K$16-1)</f>
        <v>5.7445621862799889E-2</v>
      </c>
      <c r="D37" s="11">
        <f t="shared" ref="D37:D48" si="10">IF(F22="","",F22)</f>
        <v>1.7776398064424815E-3</v>
      </c>
    </row>
    <row r="38" spans="1:8" x14ac:dyDescent="0.25">
      <c r="A38" s="4" t="str">
        <f t="shared" si="7"/>
        <v>Ay 14</v>
      </c>
      <c r="B38" s="9">
        <f t="shared" si="8"/>
        <v>253.33333333333334</v>
      </c>
      <c r="C38" s="11">
        <f t="shared" si="9"/>
        <v>-1.7750511247443646E-2</v>
      </c>
      <c r="D38" s="11">
        <f t="shared" si="10"/>
        <v>1.7328397213334918E-2</v>
      </c>
    </row>
    <row r="39" spans="1:8" x14ac:dyDescent="0.25">
      <c r="A39" s="4" t="str">
        <f t="shared" si="7"/>
        <v/>
      </c>
      <c r="B39" s="9" t="str">
        <f t="shared" si="8"/>
        <v/>
      </c>
      <c r="C39" s="11" t="str">
        <f t="shared" si="9"/>
        <v/>
      </c>
      <c r="D39" s="11" t="str">
        <f t="shared" si="10"/>
        <v/>
      </c>
    </row>
    <row r="40" spans="1:8" x14ac:dyDescent="0.25">
      <c r="A40" s="4" t="str">
        <f t="shared" si="7"/>
        <v/>
      </c>
      <c r="B40" s="9" t="str">
        <f t="shared" si="8"/>
        <v/>
      </c>
      <c r="C40" s="11" t="str">
        <f t="shared" si="9"/>
        <v/>
      </c>
      <c r="D40" s="11" t="str">
        <f t="shared" si="10"/>
        <v/>
      </c>
    </row>
    <row r="41" spans="1:8" x14ac:dyDescent="0.25">
      <c r="A41" s="4" t="str">
        <f t="shared" si="7"/>
        <v/>
      </c>
      <c r="B41" s="9" t="str">
        <f t="shared" si="8"/>
        <v/>
      </c>
      <c r="C41" s="11" t="str">
        <f t="shared" si="9"/>
        <v/>
      </c>
      <c r="D41" s="11" t="str">
        <f t="shared" si="10"/>
        <v/>
      </c>
    </row>
    <row r="42" spans="1:8" x14ac:dyDescent="0.25">
      <c r="A42" s="4" t="str">
        <f t="shared" si="7"/>
        <v/>
      </c>
      <c r="B42" s="9" t="str">
        <f t="shared" si="8"/>
        <v/>
      </c>
      <c r="C42" s="11" t="str">
        <f t="shared" si="9"/>
        <v/>
      </c>
      <c r="D42" s="11" t="str">
        <f t="shared" si="10"/>
        <v/>
      </c>
    </row>
    <row r="43" spans="1:8" x14ac:dyDescent="0.25">
      <c r="A43" s="4" t="str">
        <f t="shared" si="7"/>
        <v/>
      </c>
      <c r="B43" s="9" t="str">
        <f t="shared" si="8"/>
        <v/>
      </c>
      <c r="C43" s="11" t="str">
        <f t="shared" si="9"/>
        <v/>
      </c>
      <c r="D43" s="11" t="str">
        <f t="shared" si="10"/>
        <v/>
      </c>
    </row>
    <row r="44" spans="1:8" x14ac:dyDescent="0.25">
      <c r="A44" s="4" t="str">
        <f t="shared" si="7"/>
        <v/>
      </c>
      <c r="B44" s="9" t="str">
        <f t="shared" si="8"/>
        <v/>
      </c>
      <c r="C44" s="11" t="str">
        <f t="shared" si="9"/>
        <v/>
      </c>
      <c r="D44" s="11" t="str">
        <f t="shared" si="10"/>
        <v/>
      </c>
    </row>
    <row r="45" spans="1:8" x14ac:dyDescent="0.25">
      <c r="A45" s="4" t="str">
        <f t="shared" si="7"/>
        <v/>
      </c>
      <c r="B45" s="9" t="str">
        <f t="shared" si="8"/>
        <v/>
      </c>
      <c r="C45" s="11" t="str">
        <f t="shared" si="9"/>
        <v/>
      </c>
      <c r="D45" s="11" t="str">
        <f t="shared" si="10"/>
        <v/>
      </c>
    </row>
    <row r="46" spans="1:8" x14ac:dyDescent="0.25">
      <c r="A46" s="4" t="str">
        <f t="shared" si="7"/>
        <v/>
      </c>
      <c r="B46" s="9" t="str">
        <f t="shared" si="8"/>
        <v/>
      </c>
      <c r="C46" s="11" t="str">
        <f t="shared" si="9"/>
        <v/>
      </c>
      <c r="D46" s="11" t="str">
        <f t="shared" si="10"/>
        <v/>
      </c>
    </row>
    <row r="47" spans="1:8" x14ac:dyDescent="0.25">
      <c r="A47" s="4" t="str">
        <f t="shared" si="7"/>
        <v/>
      </c>
      <c r="B47" s="9" t="str">
        <f t="shared" si="8"/>
        <v/>
      </c>
      <c r="C47" s="11" t="str">
        <f t="shared" si="9"/>
        <v/>
      </c>
      <c r="D47" s="11" t="str">
        <f t="shared" si="10"/>
        <v/>
      </c>
    </row>
    <row r="48" spans="1:8" x14ac:dyDescent="0.25">
      <c r="A48" s="4" t="str">
        <f t="shared" si="7"/>
        <v/>
      </c>
      <c r="B48" s="9" t="str">
        <f t="shared" si="8"/>
        <v/>
      </c>
      <c r="C48" s="11" t="str">
        <f t="shared" si="9"/>
        <v/>
      </c>
      <c r="D48" s="11" t="str">
        <f t="shared" si="10"/>
        <v/>
      </c>
    </row>
    <row r="50" spans="1:8" ht="45" customHeight="1" x14ac:dyDescent="0.25">
      <c r="A50" s="28" t="s">
        <v>206</v>
      </c>
      <c r="B50" s="27"/>
      <c r="C50" s="27"/>
      <c r="D50" s="27"/>
      <c r="E50" s="27"/>
      <c r="F50" s="27"/>
      <c r="G50" s="27"/>
      <c r="H50" s="27"/>
    </row>
  </sheetData>
  <mergeCells count="2">
    <mergeCell ref="A50:H50"/>
    <mergeCell ref="A2:L2"/>
  </mergeCells>
  <conditionalFormatting sqref="H22:H33">
    <cfRule type="expression" dxfId="6" priority="3">
      <formula>$H22="İnceleme Aç"</formula>
    </cfRule>
    <cfRule type="expression" dxfId="5" priority="4">
      <formula>$H22="Bant İçinde"</formula>
    </cfRule>
  </conditionalFormatting>
  <conditionalFormatting sqref="K19:K22">
    <cfRule type="expression" dxfId="4" priority="1">
      <formula>K19="Uygun"</formula>
    </cfRule>
    <cfRule type="expression" dxfId="3" priority="2">
      <formula>K19="Yetersiz"</formula>
    </cfRule>
  </conditionalFormatting>
  <printOptions horizontalCentered="1"/>
  <pageMargins left="0.4" right="0.4" top="0.5" bottom="0.7" header="0.5" footer="0.5"/>
  <pageSetup paperSize="9" fitToHeight="0" orientation="landscape"/>
  <headerFooter>
    <oddFooter>&amp;C&amp;"Times New Roman"&amp;9 A Class Enerji — aclassenerji.com/iso-50001-enerji-izleme-sistemi&amp;R&amp;"Times New Roman"&amp;9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8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4" customWidth="1"/>
    <col min="2" max="2" width="16" customWidth="1"/>
    <col min="3" max="4" width="34" customWidth="1"/>
    <col min="5" max="5" width="20" customWidth="1"/>
    <col min="6" max="7" width="15" customWidth="1"/>
    <col min="8" max="8" width="12" customWidth="1"/>
    <col min="9" max="9" width="26" customWidth="1"/>
    <col min="10" max="10" width="40" customWidth="1"/>
  </cols>
  <sheetData>
    <row r="1" spans="1:10" x14ac:dyDescent="0.25">
      <c r="A1" s="1" t="s">
        <v>207</v>
      </c>
    </row>
    <row r="2" spans="1:10" x14ac:dyDescent="0.25">
      <c r="A2" s="35" t="s">
        <v>208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2.1" customHeight="1" x14ac:dyDescent="0.25">
      <c r="A3" s="2" t="s">
        <v>209</v>
      </c>
      <c r="B3" s="2" t="s">
        <v>210</v>
      </c>
      <c r="C3" s="2" t="s">
        <v>49</v>
      </c>
      <c r="D3" s="2" t="s">
        <v>211</v>
      </c>
      <c r="E3" s="2" t="s">
        <v>212</v>
      </c>
      <c r="F3" s="2" t="s">
        <v>213</v>
      </c>
      <c r="G3" s="2" t="s">
        <v>214</v>
      </c>
      <c r="H3" s="2" t="s">
        <v>215</v>
      </c>
      <c r="I3" s="2" t="s">
        <v>58</v>
      </c>
      <c r="J3" s="2" t="s">
        <v>59</v>
      </c>
    </row>
    <row r="4" spans="1:10" x14ac:dyDescent="0.25">
      <c r="A4" s="6" t="s">
        <v>216</v>
      </c>
      <c r="B4" s="6" t="s">
        <v>217</v>
      </c>
      <c r="C4" s="6" t="s">
        <v>218</v>
      </c>
      <c r="D4" s="6" t="s">
        <v>219</v>
      </c>
      <c r="E4" s="6" t="s">
        <v>220</v>
      </c>
      <c r="F4" s="7">
        <v>46091</v>
      </c>
      <c r="G4" s="7">
        <v>46822</v>
      </c>
      <c r="H4" s="25">
        <f t="shared" ref="H4:H28" ca="1" si="0">IF(G4="","",G4-TODAY())</f>
        <v>522</v>
      </c>
      <c r="I4" s="4" t="str">
        <f t="shared" ref="I4:I28" ca="1" si="1">IF(G4="","",IF(G4&lt;TODAY(),"Kalibrasyon Süresi Dolmuş",IF(G4-TODAY()&lt;=30,"Kalibrasyon Yaklaşıyor","Geçerli")))</f>
        <v>Geçerli</v>
      </c>
      <c r="J4" s="6" t="s">
        <v>221</v>
      </c>
    </row>
    <row r="5" spans="1:10" x14ac:dyDescent="0.25">
      <c r="A5" s="6" t="s">
        <v>222</v>
      </c>
      <c r="B5" s="6" t="s">
        <v>223</v>
      </c>
      <c r="C5" s="6" t="s">
        <v>224</v>
      </c>
      <c r="D5" s="6" t="s">
        <v>219</v>
      </c>
      <c r="E5" s="6" t="s">
        <v>225</v>
      </c>
      <c r="F5" s="7">
        <v>45945</v>
      </c>
      <c r="G5" s="7">
        <v>46310</v>
      </c>
      <c r="H5" s="25">
        <f t="shared" ca="1" si="0"/>
        <v>10</v>
      </c>
      <c r="I5" s="4" t="str">
        <f t="shared" ca="1" si="1"/>
        <v>Kalibrasyon Yaklaşıyor</v>
      </c>
      <c r="J5" s="6" t="s">
        <v>221</v>
      </c>
    </row>
    <row r="6" spans="1:10" ht="30" x14ac:dyDescent="0.25">
      <c r="A6" s="6" t="s">
        <v>226</v>
      </c>
      <c r="B6" s="6" t="s">
        <v>227</v>
      </c>
      <c r="C6" s="6" t="s">
        <v>228</v>
      </c>
      <c r="D6" s="6" t="s">
        <v>229</v>
      </c>
      <c r="E6" s="6" t="s">
        <v>230</v>
      </c>
      <c r="F6" s="7">
        <v>45889</v>
      </c>
      <c r="G6" s="7">
        <v>46254</v>
      </c>
      <c r="H6" s="25">
        <f t="shared" ca="1" si="0"/>
        <v>-46</v>
      </c>
      <c r="I6" s="4" t="str">
        <f t="shared" ca="1" si="1"/>
        <v>Kalibrasyon Süresi Dolmuş</v>
      </c>
      <c r="J6" s="6" t="s">
        <v>231</v>
      </c>
    </row>
    <row r="7" spans="1:10" ht="30" x14ac:dyDescent="0.25">
      <c r="A7" s="6" t="s">
        <v>232</v>
      </c>
      <c r="B7" s="6" t="s">
        <v>233</v>
      </c>
      <c r="C7" s="6" t="s">
        <v>234</v>
      </c>
      <c r="D7" s="6" t="s">
        <v>219</v>
      </c>
      <c r="E7" s="6" t="s">
        <v>235</v>
      </c>
      <c r="F7" s="7">
        <v>46071</v>
      </c>
      <c r="G7" s="7">
        <v>46436</v>
      </c>
      <c r="H7" s="25">
        <f t="shared" ca="1" si="0"/>
        <v>136</v>
      </c>
      <c r="I7" s="4" t="str">
        <f t="shared" ca="1" si="1"/>
        <v>Geçerli</v>
      </c>
      <c r="J7" s="6" t="s">
        <v>236</v>
      </c>
    </row>
    <row r="8" spans="1:10" x14ac:dyDescent="0.25">
      <c r="A8" s="6" t="s">
        <v>237</v>
      </c>
      <c r="B8" s="6" t="s">
        <v>238</v>
      </c>
      <c r="C8" s="6" t="s">
        <v>239</v>
      </c>
      <c r="D8" s="6" t="s">
        <v>219</v>
      </c>
      <c r="E8" s="6" t="s">
        <v>240</v>
      </c>
      <c r="F8" s="7">
        <v>46148</v>
      </c>
      <c r="G8" s="7">
        <v>46513</v>
      </c>
      <c r="H8" s="25">
        <f t="shared" ca="1" si="0"/>
        <v>213</v>
      </c>
      <c r="I8" s="4" t="str">
        <f t="shared" ca="1" si="1"/>
        <v>Geçerli</v>
      </c>
      <c r="J8" s="6" t="s">
        <v>241</v>
      </c>
    </row>
    <row r="9" spans="1:10" x14ac:dyDescent="0.25">
      <c r="A9" s="6"/>
      <c r="B9" s="6"/>
      <c r="C9" s="6"/>
      <c r="D9" s="6"/>
      <c r="E9" s="6"/>
      <c r="F9" s="7"/>
      <c r="G9" s="7"/>
      <c r="H9" s="25" t="str">
        <f t="shared" ca="1" si="0"/>
        <v/>
      </c>
      <c r="I9" s="4" t="str">
        <f t="shared" ca="1" si="1"/>
        <v/>
      </c>
      <c r="J9" s="6"/>
    </row>
    <row r="10" spans="1:10" x14ac:dyDescent="0.25">
      <c r="A10" s="6"/>
      <c r="B10" s="6"/>
      <c r="C10" s="6"/>
      <c r="D10" s="6"/>
      <c r="E10" s="6"/>
      <c r="F10" s="7"/>
      <c r="G10" s="7"/>
      <c r="H10" s="25" t="str">
        <f t="shared" ca="1" si="0"/>
        <v/>
      </c>
      <c r="I10" s="4" t="str">
        <f t="shared" ca="1" si="1"/>
        <v/>
      </c>
      <c r="J10" s="6"/>
    </row>
    <row r="11" spans="1:10" x14ac:dyDescent="0.25">
      <c r="A11" s="6"/>
      <c r="B11" s="6"/>
      <c r="C11" s="6"/>
      <c r="D11" s="6"/>
      <c r="E11" s="6"/>
      <c r="F11" s="7"/>
      <c r="G11" s="7"/>
      <c r="H11" s="25" t="str">
        <f t="shared" ca="1" si="0"/>
        <v/>
      </c>
      <c r="I11" s="4" t="str">
        <f t="shared" ca="1" si="1"/>
        <v/>
      </c>
      <c r="J11" s="6"/>
    </row>
    <row r="12" spans="1:10" x14ac:dyDescent="0.25">
      <c r="A12" s="6"/>
      <c r="B12" s="6"/>
      <c r="C12" s="6"/>
      <c r="D12" s="6"/>
      <c r="E12" s="6"/>
      <c r="F12" s="7"/>
      <c r="G12" s="7"/>
      <c r="H12" s="25" t="str">
        <f t="shared" ca="1" si="0"/>
        <v/>
      </c>
      <c r="I12" s="4" t="str">
        <f t="shared" ca="1" si="1"/>
        <v/>
      </c>
      <c r="J12" s="6"/>
    </row>
    <row r="13" spans="1:10" x14ac:dyDescent="0.25">
      <c r="A13" s="6"/>
      <c r="B13" s="6"/>
      <c r="C13" s="6"/>
      <c r="D13" s="6"/>
      <c r="E13" s="6"/>
      <c r="F13" s="7"/>
      <c r="G13" s="7"/>
      <c r="H13" s="25" t="str">
        <f t="shared" ca="1" si="0"/>
        <v/>
      </c>
      <c r="I13" s="4" t="str">
        <f t="shared" ca="1" si="1"/>
        <v/>
      </c>
      <c r="J13" s="6"/>
    </row>
    <row r="14" spans="1:10" x14ac:dyDescent="0.25">
      <c r="A14" s="6"/>
      <c r="B14" s="6"/>
      <c r="C14" s="6"/>
      <c r="D14" s="6"/>
      <c r="E14" s="6"/>
      <c r="F14" s="7"/>
      <c r="G14" s="7"/>
      <c r="H14" s="25" t="str">
        <f t="shared" ca="1" si="0"/>
        <v/>
      </c>
      <c r="I14" s="4" t="str">
        <f t="shared" ca="1" si="1"/>
        <v/>
      </c>
      <c r="J14" s="6"/>
    </row>
    <row r="15" spans="1:10" x14ac:dyDescent="0.25">
      <c r="A15" s="6"/>
      <c r="B15" s="6"/>
      <c r="C15" s="6"/>
      <c r="D15" s="6"/>
      <c r="E15" s="6"/>
      <c r="F15" s="7"/>
      <c r="G15" s="7"/>
      <c r="H15" s="25" t="str">
        <f t="shared" ca="1" si="0"/>
        <v/>
      </c>
      <c r="I15" s="4" t="str">
        <f t="shared" ca="1" si="1"/>
        <v/>
      </c>
      <c r="J15" s="6"/>
    </row>
    <row r="16" spans="1:10" x14ac:dyDescent="0.25">
      <c r="A16" s="6"/>
      <c r="B16" s="6"/>
      <c r="C16" s="6"/>
      <c r="D16" s="6"/>
      <c r="E16" s="6"/>
      <c r="F16" s="7"/>
      <c r="G16" s="7"/>
      <c r="H16" s="25" t="str">
        <f t="shared" ca="1" si="0"/>
        <v/>
      </c>
      <c r="I16" s="4" t="str">
        <f t="shared" ca="1" si="1"/>
        <v/>
      </c>
      <c r="J16" s="6"/>
    </row>
    <row r="17" spans="1:10" x14ac:dyDescent="0.25">
      <c r="A17" s="6"/>
      <c r="B17" s="6"/>
      <c r="C17" s="6"/>
      <c r="D17" s="6"/>
      <c r="E17" s="6"/>
      <c r="F17" s="7"/>
      <c r="G17" s="7"/>
      <c r="H17" s="25" t="str">
        <f t="shared" ca="1" si="0"/>
        <v/>
      </c>
      <c r="I17" s="4" t="str">
        <f t="shared" ca="1" si="1"/>
        <v/>
      </c>
      <c r="J17" s="6"/>
    </row>
    <row r="18" spans="1:10" x14ac:dyDescent="0.25">
      <c r="A18" s="6"/>
      <c r="B18" s="6"/>
      <c r="C18" s="6"/>
      <c r="D18" s="6"/>
      <c r="E18" s="6"/>
      <c r="F18" s="7"/>
      <c r="G18" s="7"/>
      <c r="H18" s="25" t="str">
        <f t="shared" ca="1" si="0"/>
        <v/>
      </c>
      <c r="I18" s="4" t="str">
        <f t="shared" ca="1" si="1"/>
        <v/>
      </c>
      <c r="J18" s="6"/>
    </row>
    <row r="19" spans="1:10" x14ac:dyDescent="0.25">
      <c r="A19" s="6"/>
      <c r="B19" s="6"/>
      <c r="C19" s="6"/>
      <c r="D19" s="6"/>
      <c r="E19" s="6"/>
      <c r="F19" s="7"/>
      <c r="G19" s="7"/>
      <c r="H19" s="25" t="str">
        <f t="shared" ca="1" si="0"/>
        <v/>
      </c>
      <c r="I19" s="4" t="str">
        <f t="shared" ca="1" si="1"/>
        <v/>
      </c>
      <c r="J19" s="6"/>
    </row>
    <row r="20" spans="1:10" x14ac:dyDescent="0.25">
      <c r="A20" s="6"/>
      <c r="B20" s="6"/>
      <c r="C20" s="6"/>
      <c r="D20" s="6"/>
      <c r="E20" s="6"/>
      <c r="F20" s="7"/>
      <c r="G20" s="7"/>
      <c r="H20" s="25" t="str">
        <f t="shared" ca="1" si="0"/>
        <v/>
      </c>
      <c r="I20" s="4" t="str">
        <f t="shared" ca="1" si="1"/>
        <v/>
      </c>
      <c r="J20" s="6"/>
    </row>
    <row r="21" spans="1:10" x14ac:dyDescent="0.25">
      <c r="A21" s="6"/>
      <c r="B21" s="6"/>
      <c r="C21" s="6"/>
      <c r="D21" s="6"/>
      <c r="E21" s="6"/>
      <c r="F21" s="7"/>
      <c r="G21" s="7"/>
      <c r="H21" s="25" t="str">
        <f t="shared" ca="1" si="0"/>
        <v/>
      </c>
      <c r="I21" s="4" t="str">
        <f t="shared" ca="1" si="1"/>
        <v/>
      </c>
      <c r="J21" s="6"/>
    </row>
    <row r="22" spans="1:10" x14ac:dyDescent="0.25">
      <c r="A22" s="6"/>
      <c r="B22" s="6"/>
      <c r="C22" s="6"/>
      <c r="D22" s="6"/>
      <c r="E22" s="6"/>
      <c r="F22" s="7"/>
      <c r="G22" s="7"/>
      <c r="H22" s="25" t="str">
        <f t="shared" ca="1" si="0"/>
        <v/>
      </c>
      <c r="I22" s="4" t="str">
        <f t="shared" ca="1" si="1"/>
        <v/>
      </c>
      <c r="J22" s="6"/>
    </row>
    <row r="23" spans="1:10" x14ac:dyDescent="0.25">
      <c r="A23" s="6"/>
      <c r="B23" s="6"/>
      <c r="C23" s="6"/>
      <c r="D23" s="6"/>
      <c r="E23" s="6"/>
      <c r="F23" s="7"/>
      <c r="G23" s="7"/>
      <c r="H23" s="25" t="str">
        <f t="shared" ca="1" si="0"/>
        <v/>
      </c>
      <c r="I23" s="4" t="str">
        <f t="shared" ca="1" si="1"/>
        <v/>
      </c>
      <c r="J23" s="6"/>
    </row>
    <row r="24" spans="1:10" x14ac:dyDescent="0.25">
      <c r="A24" s="6"/>
      <c r="B24" s="6"/>
      <c r="C24" s="6"/>
      <c r="D24" s="6"/>
      <c r="E24" s="6"/>
      <c r="F24" s="7"/>
      <c r="G24" s="7"/>
      <c r="H24" s="25" t="str">
        <f t="shared" ca="1" si="0"/>
        <v/>
      </c>
      <c r="I24" s="4" t="str">
        <f t="shared" ca="1" si="1"/>
        <v/>
      </c>
      <c r="J24" s="6"/>
    </row>
    <row r="25" spans="1:10" x14ac:dyDescent="0.25">
      <c r="A25" s="6"/>
      <c r="B25" s="6"/>
      <c r="C25" s="6"/>
      <c r="D25" s="6"/>
      <c r="E25" s="6"/>
      <c r="F25" s="7"/>
      <c r="G25" s="7"/>
      <c r="H25" s="25" t="str">
        <f t="shared" ca="1" si="0"/>
        <v/>
      </c>
      <c r="I25" s="4" t="str">
        <f t="shared" ca="1" si="1"/>
        <v/>
      </c>
      <c r="J25" s="6"/>
    </row>
    <row r="26" spans="1:10" x14ac:dyDescent="0.25">
      <c r="A26" s="6"/>
      <c r="B26" s="6"/>
      <c r="C26" s="6"/>
      <c r="D26" s="6"/>
      <c r="E26" s="6"/>
      <c r="F26" s="7"/>
      <c r="G26" s="7"/>
      <c r="H26" s="25" t="str">
        <f t="shared" ca="1" si="0"/>
        <v/>
      </c>
      <c r="I26" s="4" t="str">
        <f t="shared" ca="1" si="1"/>
        <v/>
      </c>
      <c r="J26" s="6"/>
    </row>
    <row r="27" spans="1:10" x14ac:dyDescent="0.25">
      <c r="A27" s="6"/>
      <c r="B27" s="6"/>
      <c r="C27" s="6"/>
      <c r="D27" s="6"/>
      <c r="E27" s="6"/>
      <c r="F27" s="7"/>
      <c r="G27" s="7"/>
      <c r="H27" s="25" t="str">
        <f t="shared" ca="1" si="0"/>
        <v/>
      </c>
      <c r="I27" s="4" t="str">
        <f t="shared" ca="1" si="1"/>
        <v/>
      </c>
      <c r="J27" s="6"/>
    </row>
    <row r="28" spans="1:10" x14ac:dyDescent="0.25">
      <c r="A28" s="6"/>
      <c r="B28" s="6"/>
      <c r="C28" s="6"/>
      <c r="D28" s="6"/>
      <c r="E28" s="6"/>
      <c r="F28" s="7"/>
      <c r="G28" s="7"/>
      <c r="H28" s="25" t="str">
        <f t="shared" ca="1" si="0"/>
        <v/>
      </c>
      <c r="I28" s="4" t="str">
        <f t="shared" ca="1" si="1"/>
        <v/>
      </c>
      <c r="J28" s="6"/>
    </row>
  </sheetData>
  <autoFilter ref="A3:J28" xr:uid="{00000000-0009-0000-0000-000003000000}"/>
  <mergeCells count="1">
    <mergeCell ref="A2:J2"/>
  </mergeCells>
  <conditionalFormatting sqref="I4:I28">
    <cfRule type="expression" dxfId="2" priority="1">
      <formula>$I4="Kalibrasyon Süresi Dolmuş"</formula>
    </cfRule>
    <cfRule type="expression" dxfId="1" priority="2">
      <formula>$I4="Kalibrasyon Yaklaşıyor"</formula>
    </cfRule>
    <cfRule type="expression" dxfId="0" priority="3">
      <formula>$I4="Geçerli"</formula>
    </cfRule>
  </conditionalFormatting>
  <dataValidations count="1">
    <dataValidation type="date" operator="greaterThan" allowBlank="1" showErrorMessage="1" error="Geçerli bir tarih girin (gg.aa.yyyy)." sqref="F4:G28" xr:uid="{00000000-0002-0000-0300-000000000000}">
      <formula1>36526</formula1>
    </dataValidation>
  </dataValidations>
  <printOptions horizontalCentered="1"/>
  <pageMargins left="0.4" right="0.4" top="0.5" bottom="0.7" header="0.5" footer="0.5"/>
  <pageSetup paperSize="9" fitToHeight="0" orientation="landscape"/>
  <headerFooter>
    <oddFooter>&amp;C&amp;"Times New Roman"&amp;9 A Class Enerji — aclassenerji.com/iso-50001-enerji-izleme-sistemi&amp;R&amp;"Times New Roman"&amp;9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Açıklama</vt:lpstr>
      <vt:lpstr>Veri Toplama Planı</vt:lpstr>
      <vt:lpstr>EnPI Ve EnB</vt:lpstr>
      <vt:lpstr>Kalibrasyon Takibi</vt:lpstr>
      <vt:lpstr>'Kalibrasyon Takibi'!Yazdırma_Başlıkları</vt:lpstr>
      <vt:lpstr>'Veri Toplama Planı'!Yazdırma_Başlıkları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 50001 Enerji Verisi Toplama Planı Şablonu</dc:title>
  <dc:subject>ISO 50001:2018 madde 6.6 ve 9.1; EnPI/EnB normalizasyonu</dc:subject>
  <dc:creator>A Class Enerji</dc:creator>
  <cp:lastModifiedBy>A Class Enerji</cp:lastModifiedBy>
  <dcterms:created xsi:type="dcterms:W3CDTF">2026-09-25T09:40:08Z</dcterms:created>
  <dcterms:modified xsi:type="dcterms:W3CDTF">2026-10-05T10:40:55Z</dcterms:modified>
</cp:coreProperties>
</file>